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8" activeTab="11"/>
  </bookViews>
  <sheets>
    <sheet name="61.4 (январь) " sheetId="1" r:id="rId1"/>
    <sheet name="61.4 (февраль)" sheetId="2" r:id="rId2"/>
    <sheet name="61.4 (март)" sheetId="3" r:id="rId3"/>
    <sheet name="61.4 (апрель)" sheetId="4" r:id="rId4"/>
    <sheet name="61.4 (май)" sheetId="5" r:id="rId5"/>
    <sheet name="61.4 (июнь)" sheetId="6" r:id="rId6"/>
    <sheet name="61.4 (июль)" sheetId="7" r:id="rId7"/>
    <sheet name="61.4 (август)" sheetId="8" r:id="rId8"/>
    <sheet name="61.4 (сентябрь) " sheetId="9" r:id="rId9"/>
    <sheet name="61.4 (октябрь)" sheetId="10" r:id="rId10"/>
    <sheet name="61.4 (ноябрь)" sheetId="11" r:id="rId11"/>
    <sheet name="61.4 (декабрь)" sheetId="12" r:id="rId12"/>
  </sheets>
  <definedNames/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3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по перерасчету поставщика
Ек.энергосбыт.
</t>
        </r>
      </text>
    </comment>
  </commentList>
</comments>
</file>

<file path=xl/sharedStrings.xml><?xml version="1.0" encoding="utf-8"?>
<sst xmlns="http://schemas.openxmlformats.org/spreadsheetml/2006/main" count="279" uniqueCount="49">
  <si>
    <t xml:space="preserve"> </t>
  </si>
  <si>
    <t>Услуга</t>
  </si>
  <si>
    <t xml:space="preserve">показания общедомового прибора учета </t>
  </si>
  <si>
    <t>начисление по индивидуальным приборам учета и нормативу</t>
  </si>
  <si>
    <t>начисление сторонним потребителям</t>
  </si>
  <si>
    <t>итого к предъявлению ОДН</t>
  </si>
  <si>
    <t>на 1 кв.м</t>
  </si>
  <si>
    <t>показания прибора учета (моп, лифты, дымоудаление)</t>
  </si>
  <si>
    <t>Викулова 61-4</t>
  </si>
  <si>
    <t>ГВС (тонн)</t>
  </si>
  <si>
    <t>водоотведение(тонн)</t>
  </si>
  <si>
    <t>объем потребления</t>
  </si>
  <si>
    <t>показание 1</t>
  </si>
  <si>
    <t>показание 2</t>
  </si>
  <si>
    <t>итого по эл.эн.</t>
  </si>
  <si>
    <t>эл.эн.день № сч.685201</t>
  </si>
  <si>
    <t>эл.эн.ночь № сч.685201</t>
  </si>
  <si>
    <t>ХВС (тонн)</t>
  </si>
  <si>
    <t>нагрев воды (Г.кал.)</t>
  </si>
  <si>
    <t>Объем коммунальных услуг по показаниям общедомовых приборов учета (ОДН) за январь в феврале 2014г.</t>
  </si>
  <si>
    <t>29381,/30041</t>
  </si>
  <si>
    <t>Объем коммунальных услуг по показаниям общедомовых приборов учета (ОДН) за февраль в марте 2014г.</t>
  </si>
  <si>
    <t>29,429*31дн</t>
  </si>
  <si>
    <t>Объем коммунальных услуг по показаниям общедомовых приборов учета (ОДН) за март в апреле 2014г.</t>
  </si>
  <si>
    <t>29,197*27дн.30439/30463</t>
  </si>
  <si>
    <t>Объем коммунальных услуг по показаниям общедомовых приборов учета (ОДН) за апрель в мае 2014г.</t>
  </si>
  <si>
    <t>ГВС (м3)</t>
  </si>
  <si>
    <t>ХВС (м3)</t>
  </si>
  <si>
    <t>29,495,1/144,144/827</t>
  </si>
  <si>
    <t>водоотведение(м3)</t>
  </si>
  <si>
    <t>эл.эн.день № сч.624801</t>
  </si>
  <si>
    <t xml:space="preserve">день </t>
  </si>
  <si>
    <t>ночь</t>
  </si>
  <si>
    <t>Объем коммунальных услуг по показаниям общедомовых приборов учета (ОДН) за май в июне 2014г.</t>
  </si>
  <si>
    <t>827,/1719</t>
  </si>
  <si>
    <t>Объем коммунальных услуг по показаниям общедомовых приборов учета (ОДН) за июнь в июле 2014г.</t>
  </si>
  <si>
    <t>1719,/2490</t>
  </si>
  <si>
    <t>Объем коммунальных услуг по показаниям общедомовых приборов учета (ОДН) за июль в августе 2014г.</t>
  </si>
  <si>
    <t>2490,/3249</t>
  </si>
  <si>
    <t>Объем коммунальных услуг по показаниям общедомовых приборов учета (ОДН) за август в сентябре 2014г.</t>
  </si>
  <si>
    <t>3249,/4068</t>
  </si>
  <si>
    <t>Объем коммунальных услуг по показаниям общедомовых приборов учета (ОДН) за сентябрь в октябре 2014г.</t>
  </si>
  <si>
    <t>4068,/4847</t>
  </si>
  <si>
    <t>Объем коммунальных услуг по показаниям общедомовых приборов учета (ОДН) за октябрь в ноябре 2014г.</t>
  </si>
  <si>
    <t>4847,/5704</t>
  </si>
  <si>
    <t>Объем коммунальных услуг по показаниям общедомовых приборов учета (ОДН) за ноябрь в декабре 2014г.</t>
  </si>
  <si>
    <t>5704,/6567</t>
  </si>
  <si>
    <t>Объем коммунальных услуг по показаниям общедомовых приборов учета (ОДН) за декабрь в январе 2015г.</t>
  </si>
  <si>
    <t>6567,/7591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</si>
</sst>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  <numFmt numFmtId="168" formatCode="#,##0.0000"/>
    <numFmt numFmtId="169" formatCode="#,##0.000"/>
  </numFmts>
  <fonts count="23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0" fillId="24" borderId="0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6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7109375" style="0" customWidth="1"/>
    <col min="5" max="5" width="16.00390625" style="0" customWidth="1"/>
    <col min="6" max="6" width="15.421875" style="0" customWidth="1"/>
    <col min="7" max="7" width="16.7109375" style="0" customWidth="1"/>
    <col min="8" max="8" width="15.140625" style="0" customWidth="1"/>
    <col min="9" max="9" width="12.28125" style="0" customWidth="1"/>
    <col min="10" max="10" width="12.421875" style="0" customWidth="1"/>
    <col min="11" max="11" width="9.57421875" style="0" bestFit="1" customWidth="1"/>
  </cols>
  <sheetData>
    <row r="3" ht="15.75">
      <c r="C3" s="10" t="s">
        <v>19</v>
      </c>
    </row>
    <row r="4" spans="1:10" ht="15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64.5" customHeight="1">
      <c r="A5" s="29" t="s">
        <v>0</v>
      </c>
      <c r="B5" s="31" t="s">
        <v>1</v>
      </c>
      <c r="C5" s="29" t="s">
        <v>2</v>
      </c>
      <c r="D5" s="34" t="s">
        <v>7</v>
      </c>
      <c r="E5" s="35"/>
      <c r="F5" s="29" t="s">
        <v>11</v>
      </c>
      <c r="G5" s="29" t="s">
        <v>3</v>
      </c>
      <c r="H5" s="29" t="s">
        <v>4</v>
      </c>
      <c r="I5" s="29" t="s">
        <v>5</v>
      </c>
      <c r="J5" s="31" t="s">
        <v>6</v>
      </c>
    </row>
    <row r="6" spans="1:10" ht="23.25" customHeight="1">
      <c r="A6" s="30"/>
      <c r="B6" s="32"/>
      <c r="C6" s="30"/>
      <c r="D6" s="11" t="s">
        <v>12</v>
      </c>
      <c r="E6" s="5" t="s">
        <v>13</v>
      </c>
      <c r="F6" s="30"/>
      <c r="G6" s="30"/>
      <c r="H6" s="30"/>
      <c r="I6" s="30"/>
      <c r="J6" s="32"/>
    </row>
    <row r="7" spans="1:12" ht="15">
      <c r="A7" s="19">
        <v>1</v>
      </c>
      <c r="B7" s="20" t="s">
        <v>18</v>
      </c>
      <c r="C7" s="19"/>
      <c r="D7" s="21"/>
      <c r="E7" s="22"/>
      <c r="F7" s="23">
        <f>65.1+0.54+0.27+0.54+0.27</f>
        <v>66.72</v>
      </c>
      <c r="G7" s="23">
        <f>G8*0.0478</f>
        <v>33.068518</v>
      </c>
      <c r="H7" s="23">
        <f>0.54+0.27+0.54+0.27</f>
        <v>1.62</v>
      </c>
      <c r="I7" s="23">
        <f>I8*0.0478</f>
        <v>1.38381478</v>
      </c>
      <c r="J7" s="6">
        <f>I7/8193.63</f>
        <v>0.00016888909799441762</v>
      </c>
      <c r="L7" s="16"/>
    </row>
    <row r="8" spans="1:12" ht="15">
      <c r="A8" s="3">
        <v>2</v>
      </c>
      <c r="B8" s="4" t="s">
        <v>9</v>
      </c>
      <c r="C8" s="6"/>
      <c r="D8" s="8"/>
      <c r="E8" s="8"/>
      <c r="F8" s="6">
        <f>803.4+5.95+3.2+5.95+3.2</f>
        <v>821.7000000000002</v>
      </c>
      <c r="G8" s="7">
        <f>509.27+158.15+24.39</f>
        <v>691.81</v>
      </c>
      <c r="H8" s="7">
        <f>5.95+3.2+5.95+3.2</f>
        <v>18.3</v>
      </c>
      <c r="I8" s="7">
        <v>28.9501</v>
      </c>
      <c r="J8" s="6">
        <f aca="true" t="shared" si="0" ref="J8:J13">I8/8193.63</f>
        <v>0.0035332447279166866</v>
      </c>
      <c r="L8" s="16"/>
    </row>
    <row r="9" spans="1:12" ht="15">
      <c r="A9" s="3">
        <v>3</v>
      </c>
      <c r="B9" s="4" t="s">
        <v>17</v>
      </c>
      <c r="C9" s="7" t="s">
        <v>20</v>
      </c>
      <c r="D9" s="8"/>
      <c r="E9" s="8"/>
      <c r="F9" s="7">
        <f>660</f>
        <v>660</v>
      </c>
      <c r="G9" s="7">
        <f>606.25+331.12+415.08</f>
        <v>1352.45</v>
      </c>
      <c r="H9" s="7">
        <v>0</v>
      </c>
      <c r="I9" s="7">
        <f>F9-G9-H9</f>
        <v>-692.45</v>
      </c>
      <c r="J9" s="6">
        <f t="shared" si="0"/>
        <v>-0.0845107723927002</v>
      </c>
      <c r="L9" s="16"/>
    </row>
    <row r="10" spans="1:12" ht="15">
      <c r="A10" s="3">
        <v>4</v>
      </c>
      <c r="B10" s="4" t="s">
        <v>10</v>
      </c>
      <c r="C10" s="7"/>
      <c r="D10" s="8"/>
      <c r="E10" s="8"/>
      <c r="F10" s="7">
        <f>F8+F9</f>
        <v>1481.7000000000003</v>
      </c>
      <c r="G10" s="7">
        <f>1098.64+559.56+353.98+27.23</f>
        <v>2039.41</v>
      </c>
      <c r="H10" s="7">
        <f>H8+H9</f>
        <v>18.3</v>
      </c>
      <c r="I10" s="7">
        <v>0</v>
      </c>
      <c r="J10" s="6">
        <f t="shared" si="0"/>
        <v>0</v>
      </c>
      <c r="K10" s="17"/>
      <c r="L10" s="16"/>
    </row>
    <row r="11" spans="1:12" ht="15">
      <c r="A11" s="26">
        <v>5</v>
      </c>
      <c r="B11" s="4" t="s">
        <v>15</v>
      </c>
      <c r="C11" s="7"/>
      <c r="D11" s="12">
        <v>22196</v>
      </c>
      <c r="E11" s="12">
        <v>22383</v>
      </c>
      <c r="F11" s="18">
        <f>(E11-D11)*20</f>
        <v>3740</v>
      </c>
      <c r="G11" s="7">
        <v>0</v>
      </c>
      <c r="H11" s="7">
        <v>0</v>
      </c>
      <c r="I11" s="7">
        <f>F11-G11-H11</f>
        <v>3740</v>
      </c>
      <c r="J11" s="6">
        <f t="shared" si="0"/>
        <v>0.4564521463624792</v>
      </c>
      <c r="K11" s="17"/>
      <c r="L11" s="16"/>
    </row>
    <row r="12" spans="1:10" ht="15">
      <c r="A12" s="27"/>
      <c r="B12" s="4" t="s">
        <v>16</v>
      </c>
      <c r="C12" s="7"/>
      <c r="D12" s="12">
        <v>21893</v>
      </c>
      <c r="E12" s="12">
        <v>22090</v>
      </c>
      <c r="F12" s="18">
        <f>(E12-D12)*20</f>
        <v>3940</v>
      </c>
      <c r="G12" s="7">
        <v>0</v>
      </c>
      <c r="H12" s="7">
        <v>0</v>
      </c>
      <c r="I12" s="7">
        <f>F12-G12-H12</f>
        <v>3940</v>
      </c>
      <c r="J12" s="6">
        <f t="shared" si="0"/>
        <v>0.4808613520503123</v>
      </c>
    </row>
    <row r="13" spans="1:10" ht="15">
      <c r="A13" s="28"/>
      <c r="B13" s="13" t="s">
        <v>14</v>
      </c>
      <c r="C13" s="13"/>
      <c r="D13" s="14"/>
      <c r="E13" s="13"/>
      <c r="F13" s="15">
        <f>SUM(F11:F12)</f>
        <v>7680</v>
      </c>
      <c r="G13" s="15">
        <f>SUM(G11:G12)</f>
        <v>0</v>
      </c>
      <c r="H13" s="15">
        <f>SUM(H11:H12)</f>
        <v>0</v>
      </c>
      <c r="I13" s="15">
        <f>SUM(I11:I12)</f>
        <v>7680</v>
      </c>
      <c r="J13" s="6">
        <f t="shared" si="0"/>
        <v>0.9373134984127915</v>
      </c>
    </row>
    <row r="14" spans="1:8" ht="15">
      <c r="A14" s="1"/>
      <c r="B14" s="1"/>
      <c r="C14" s="1"/>
      <c r="D14" s="1"/>
      <c r="E14" s="1"/>
      <c r="F14" s="1"/>
      <c r="G14" s="9"/>
      <c r="H14" s="2"/>
    </row>
    <row r="15" spans="1:8" ht="15">
      <c r="A15" s="1"/>
      <c r="B15" s="1"/>
      <c r="C15" s="1"/>
      <c r="D15" s="1"/>
      <c r="E15" s="1"/>
      <c r="F15" s="1"/>
      <c r="G15" s="1"/>
      <c r="H15" s="2"/>
    </row>
    <row r="16" spans="1:8" ht="15">
      <c r="A16" s="1"/>
      <c r="B16" s="1"/>
      <c r="C16" s="1"/>
      <c r="D16" s="1"/>
      <c r="E16" s="1"/>
      <c r="F16" s="1"/>
      <c r="G16" s="1"/>
      <c r="H16" s="2"/>
    </row>
    <row r="17" spans="1:8" ht="15">
      <c r="A17" s="1"/>
      <c r="B17" s="1"/>
      <c r="C17" s="1"/>
      <c r="D17" s="1"/>
      <c r="E17" s="1"/>
      <c r="F17" s="1"/>
      <c r="G17" s="1"/>
      <c r="H17" s="2"/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</sheetData>
  <sheetProtection/>
  <mergeCells count="11">
    <mergeCell ref="H5:H6"/>
    <mergeCell ref="A11:A13"/>
    <mergeCell ref="I5:I6"/>
    <mergeCell ref="J5:J6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36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7109375" style="0" customWidth="1"/>
    <col min="5" max="5" width="16.00390625" style="0" customWidth="1"/>
    <col min="6" max="6" width="15.421875" style="0" customWidth="1"/>
    <col min="7" max="7" width="16.7109375" style="0" customWidth="1"/>
    <col min="8" max="8" width="15.140625" style="0" customWidth="1"/>
    <col min="9" max="9" width="12.28125" style="0" customWidth="1"/>
    <col min="10" max="10" width="12.421875" style="0" customWidth="1"/>
    <col min="11" max="11" width="9.57421875" style="0" bestFit="1" customWidth="1"/>
  </cols>
  <sheetData>
    <row r="3" ht="15.75">
      <c r="C3" s="10" t="s">
        <v>43</v>
      </c>
    </row>
    <row r="4" spans="1:10" ht="15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64.5" customHeight="1">
      <c r="A5" s="29" t="s">
        <v>0</v>
      </c>
      <c r="B5" s="31" t="s">
        <v>1</v>
      </c>
      <c r="C5" s="29" t="s">
        <v>2</v>
      </c>
      <c r="D5" s="34" t="s">
        <v>7</v>
      </c>
      <c r="E5" s="35"/>
      <c r="F5" s="29" t="s">
        <v>11</v>
      </c>
      <c r="G5" s="29" t="s">
        <v>3</v>
      </c>
      <c r="H5" s="29" t="s">
        <v>4</v>
      </c>
      <c r="I5" s="29" t="s">
        <v>5</v>
      </c>
      <c r="J5" s="31" t="s">
        <v>6</v>
      </c>
    </row>
    <row r="6" spans="1:10" ht="23.25" customHeight="1">
      <c r="A6" s="30"/>
      <c r="B6" s="32"/>
      <c r="C6" s="30"/>
      <c r="D6" s="11" t="s">
        <v>12</v>
      </c>
      <c r="E6" s="5" t="s">
        <v>13</v>
      </c>
      <c r="F6" s="30"/>
      <c r="G6" s="30"/>
      <c r="H6" s="30"/>
      <c r="I6" s="30"/>
      <c r="J6" s="32"/>
    </row>
    <row r="7" spans="1:12" ht="15">
      <c r="A7" s="19">
        <v>1</v>
      </c>
      <c r="B7" s="20" t="s">
        <v>18</v>
      </c>
      <c r="C7" s="19"/>
      <c r="D7" s="21"/>
      <c r="E7" s="22"/>
      <c r="F7" s="23">
        <v>56.34</v>
      </c>
      <c r="G7" s="23">
        <v>35.692738</v>
      </c>
      <c r="H7" s="23">
        <v>1.6400000000000001</v>
      </c>
      <c r="I7" s="7">
        <v>1.38381478</v>
      </c>
      <c r="J7" s="6">
        <v>0.0001694163511109642</v>
      </c>
      <c r="L7" s="16"/>
    </row>
    <row r="8" spans="1:12" ht="15">
      <c r="A8" s="3">
        <v>2</v>
      </c>
      <c r="B8" s="4" t="s">
        <v>26</v>
      </c>
      <c r="C8" s="6"/>
      <c r="D8" s="8"/>
      <c r="E8" s="8"/>
      <c r="F8" s="6">
        <v>812</v>
      </c>
      <c r="G8" s="7">
        <v>746.7099999999999</v>
      </c>
      <c r="H8" s="7">
        <v>23.700000000000003</v>
      </c>
      <c r="I8" s="7">
        <v>28.9501</v>
      </c>
      <c r="J8" s="6">
        <v>0.003544275127844439</v>
      </c>
      <c r="L8" s="16"/>
    </row>
    <row r="9" spans="1:12" ht="15">
      <c r="A9" s="3">
        <v>3</v>
      </c>
      <c r="B9" s="4" t="s">
        <v>27</v>
      </c>
      <c r="C9" s="24" t="s">
        <v>44</v>
      </c>
      <c r="D9" s="8"/>
      <c r="E9" s="8"/>
      <c r="F9" s="7">
        <v>857</v>
      </c>
      <c r="G9" s="7">
        <v>914.47</v>
      </c>
      <c r="H9" s="7">
        <v>0</v>
      </c>
      <c r="I9" s="7">
        <v>-57.47000000000003</v>
      </c>
      <c r="J9" s="6">
        <v>-0.007035882141934571</v>
      </c>
      <c r="L9" s="16"/>
    </row>
    <row r="10" spans="1:12" ht="15">
      <c r="A10" s="3">
        <v>4</v>
      </c>
      <c r="B10" s="4" t="s">
        <v>29</v>
      </c>
      <c r="C10" s="7"/>
      <c r="D10" s="8"/>
      <c r="E10" s="8"/>
      <c r="F10" s="7">
        <v>1669</v>
      </c>
      <c r="G10" s="7">
        <v>1670.8599999999997</v>
      </c>
      <c r="H10" s="7">
        <v>23.700000000000003</v>
      </c>
      <c r="I10" s="7">
        <v>0</v>
      </c>
      <c r="J10" s="6">
        <v>0</v>
      </c>
      <c r="K10" s="17"/>
      <c r="L10" s="16"/>
    </row>
    <row r="11" spans="1:12" ht="15">
      <c r="A11" s="26">
        <v>5</v>
      </c>
      <c r="B11" s="4" t="s">
        <v>15</v>
      </c>
      <c r="C11" s="7"/>
      <c r="D11" s="12">
        <v>23574</v>
      </c>
      <c r="E11" s="12">
        <v>23747</v>
      </c>
      <c r="F11" s="18">
        <v>3460</v>
      </c>
      <c r="G11" s="7">
        <v>0</v>
      </c>
      <c r="H11" s="7">
        <v>0</v>
      </c>
      <c r="I11" s="7">
        <v>3460</v>
      </c>
      <c r="J11" s="6">
        <v>0.42359756761951634</v>
      </c>
      <c r="K11" s="17"/>
      <c r="L11" s="16"/>
    </row>
    <row r="12" spans="1:10" ht="15">
      <c r="A12" s="27"/>
      <c r="B12" s="4" t="s">
        <v>16</v>
      </c>
      <c r="C12" s="7"/>
      <c r="D12" s="12">
        <v>23126</v>
      </c>
      <c r="E12" s="12">
        <v>23269</v>
      </c>
      <c r="F12" s="18">
        <v>2860</v>
      </c>
      <c r="G12" s="7">
        <v>0</v>
      </c>
      <c r="H12" s="7">
        <v>0</v>
      </c>
      <c r="I12" s="7">
        <v>2860</v>
      </c>
      <c r="J12" s="6">
        <v>0.35014134202075625</v>
      </c>
    </row>
    <row r="13" spans="1:10" ht="15">
      <c r="A13" s="27"/>
      <c r="B13" s="4" t="s">
        <v>30</v>
      </c>
      <c r="C13" s="7"/>
      <c r="D13" s="12"/>
      <c r="E13" s="12"/>
      <c r="F13" s="18">
        <v>0</v>
      </c>
      <c r="G13" s="7">
        <v>0</v>
      </c>
      <c r="H13" s="7">
        <v>0</v>
      </c>
      <c r="I13" s="7">
        <v>0</v>
      </c>
      <c r="J13" s="6">
        <v>0</v>
      </c>
    </row>
    <row r="14" spans="1:10" ht="15">
      <c r="A14" s="28"/>
      <c r="B14" s="13" t="s">
        <v>14</v>
      </c>
      <c r="C14" s="13"/>
      <c r="D14" s="14"/>
      <c r="E14" s="13"/>
      <c r="F14" s="15">
        <v>6320</v>
      </c>
      <c r="G14" s="15">
        <v>0</v>
      </c>
      <c r="H14" s="15">
        <v>0</v>
      </c>
      <c r="I14" s="15">
        <v>6320</v>
      </c>
      <c r="J14" s="6">
        <v>0.7737389096402726</v>
      </c>
    </row>
    <row r="15" spans="1:10" ht="15">
      <c r="A15" s="1"/>
      <c r="B15" s="1"/>
      <c r="C15" s="1"/>
      <c r="D15" s="1"/>
      <c r="E15" s="1" t="s">
        <v>31</v>
      </c>
      <c r="F15" s="25">
        <v>3460</v>
      </c>
      <c r="G15" s="25">
        <v>0</v>
      </c>
      <c r="H15" s="25">
        <v>0</v>
      </c>
      <c r="I15" s="7">
        <v>3460</v>
      </c>
      <c r="J15" s="6">
        <v>0.42359756761951634</v>
      </c>
    </row>
    <row r="16" spans="1:10" ht="15">
      <c r="A16" s="1"/>
      <c r="B16" s="1"/>
      <c r="C16" s="1"/>
      <c r="D16" s="1"/>
      <c r="E16" s="1" t="s">
        <v>32</v>
      </c>
      <c r="F16" s="9">
        <v>2860</v>
      </c>
      <c r="G16" s="9">
        <v>0</v>
      </c>
      <c r="H16" s="9">
        <v>0</v>
      </c>
      <c r="I16" s="7">
        <v>2860</v>
      </c>
      <c r="J16" s="6">
        <v>0.35014134202075625</v>
      </c>
    </row>
    <row r="17" spans="1:8" ht="15">
      <c r="A17" s="1"/>
      <c r="B17" s="1"/>
      <c r="C17" s="1"/>
      <c r="D17" s="1"/>
      <c r="E17" s="1"/>
      <c r="F17" s="1"/>
      <c r="G17" s="1"/>
      <c r="H17" s="2"/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</sheetData>
  <sheetProtection/>
  <mergeCells count="11">
    <mergeCell ref="A11:A14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36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9" sqref="C9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7109375" style="0" customWidth="1"/>
    <col min="5" max="5" width="16.00390625" style="0" customWidth="1"/>
    <col min="6" max="6" width="15.421875" style="0" customWidth="1"/>
    <col min="7" max="7" width="16.7109375" style="0" customWidth="1"/>
    <col min="8" max="8" width="15.140625" style="0" customWidth="1"/>
    <col min="9" max="9" width="12.28125" style="0" customWidth="1"/>
    <col min="10" max="10" width="12.421875" style="0" customWidth="1"/>
    <col min="11" max="11" width="9.57421875" style="0" bestFit="1" customWidth="1"/>
  </cols>
  <sheetData>
    <row r="3" ht="15.75">
      <c r="C3" s="10" t="s">
        <v>45</v>
      </c>
    </row>
    <row r="4" spans="1:10" ht="15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64.5" customHeight="1">
      <c r="A5" s="29" t="s">
        <v>0</v>
      </c>
      <c r="B5" s="31" t="s">
        <v>1</v>
      </c>
      <c r="C5" s="29" t="s">
        <v>2</v>
      </c>
      <c r="D5" s="34" t="s">
        <v>7</v>
      </c>
      <c r="E5" s="35"/>
      <c r="F5" s="29" t="s">
        <v>11</v>
      </c>
      <c r="G5" s="29" t="s">
        <v>3</v>
      </c>
      <c r="H5" s="29" t="s">
        <v>4</v>
      </c>
      <c r="I5" s="29" t="s">
        <v>5</v>
      </c>
      <c r="J5" s="31" t="s">
        <v>6</v>
      </c>
    </row>
    <row r="6" spans="1:10" ht="23.25" customHeight="1">
      <c r="A6" s="30"/>
      <c r="B6" s="32"/>
      <c r="C6" s="30"/>
      <c r="D6" s="11" t="s">
        <v>12</v>
      </c>
      <c r="E6" s="5" t="s">
        <v>13</v>
      </c>
      <c r="F6" s="30"/>
      <c r="G6" s="30"/>
      <c r="H6" s="30"/>
      <c r="I6" s="30"/>
      <c r="J6" s="32"/>
    </row>
    <row r="7" spans="1:12" ht="15">
      <c r="A7" s="19">
        <v>1</v>
      </c>
      <c r="B7" s="20" t="s">
        <v>18</v>
      </c>
      <c r="C7" s="19"/>
      <c r="D7" s="21"/>
      <c r="E7" s="22"/>
      <c r="F7" s="23">
        <v>54.71000000000001</v>
      </c>
      <c r="G7" s="23">
        <v>40.971153380000004</v>
      </c>
      <c r="H7" s="23">
        <v>1.6</v>
      </c>
      <c r="I7" s="7">
        <v>1.38381478</v>
      </c>
      <c r="J7" s="6">
        <v>0.0001694163511109642</v>
      </c>
      <c r="L7" s="16"/>
    </row>
    <row r="8" spans="1:12" ht="15">
      <c r="A8" s="3">
        <v>2</v>
      </c>
      <c r="B8" s="4" t="s">
        <v>26</v>
      </c>
      <c r="C8" s="6"/>
      <c r="D8" s="8"/>
      <c r="E8" s="8"/>
      <c r="F8" s="6">
        <v>744.7999999999997</v>
      </c>
      <c r="G8" s="7">
        <v>857.1371</v>
      </c>
      <c r="H8" s="7">
        <v>21.74</v>
      </c>
      <c r="I8" s="7">
        <v>-134.0771000000003</v>
      </c>
      <c r="J8" s="6">
        <v>-0.01641466284204589</v>
      </c>
      <c r="L8" s="16"/>
    </row>
    <row r="9" spans="1:12" ht="15">
      <c r="A9" s="3">
        <v>3</v>
      </c>
      <c r="B9" s="4" t="s">
        <v>27</v>
      </c>
      <c r="C9" s="24" t="s">
        <v>46</v>
      </c>
      <c r="D9" s="8"/>
      <c r="E9" s="8"/>
      <c r="F9" s="7">
        <v>863</v>
      </c>
      <c r="G9" s="7">
        <v>699.819</v>
      </c>
      <c r="H9" s="7">
        <v>0</v>
      </c>
      <c r="I9" s="7">
        <v>28.9501</v>
      </c>
      <c r="J9" s="6">
        <v>0.003544275127844439</v>
      </c>
      <c r="L9" s="16"/>
    </row>
    <row r="10" spans="1:12" ht="15">
      <c r="A10" s="3">
        <v>4</v>
      </c>
      <c r="B10" s="4" t="s">
        <v>29</v>
      </c>
      <c r="C10" s="7"/>
      <c r="D10" s="8"/>
      <c r="E10" s="8"/>
      <c r="F10" s="7">
        <v>1607.7999999999997</v>
      </c>
      <c r="G10" s="7">
        <v>1568.9560999999997</v>
      </c>
      <c r="H10" s="7">
        <v>21.74</v>
      </c>
      <c r="I10" s="7">
        <v>0</v>
      </c>
      <c r="J10" s="6">
        <v>0</v>
      </c>
      <c r="K10" s="17"/>
      <c r="L10" s="16"/>
    </row>
    <row r="11" spans="1:12" ht="15">
      <c r="A11" s="26">
        <v>5</v>
      </c>
      <c r="B11" s="4" t="s">
        <v>15</v>
      </c>
      <c r="C11" s="7"/>
      <c r="D11" s="12">
        <v>23747</v>
      </c>
      <c r="E11" s="12">
        <v>23931</v>
      </c>
      <c r="F11" s="18">
        <v>3680</v>
      </c>
      <c r="G11" s="7">
        <v>0</v>
      </c>
      <c r="H11" s="7">
        <v>0</v>
      </c>
      <c r="I11" s="7">
        <v>3680</v>
      </c>
      <c r="J11" s="6">
        <v>0.45053151700572835</v>
      </c>
      <c r="K11" s="17"/>
      <c r="L11" s="16"/>
    </row>
    <row r="12" spans="1:10" ht="15">
      <c r="A12" s="27"/>
      <c r="B12" s="4" t="s">
        <v>16</v>
      </c>
      <c r="C12" s="7"/>
      <c r="D12" s="12">
        <v>23269</v>
      </c>
      <c r="E12" s="12">
        <v>23440</v>
      </c>
      <c r="F12" s="18">
        <v>3420</v>
      </c>
      <c r="G12" s="7">
        <v>0</v>
      </c>
      <c r="H12" s="7">
        <v>0</v>
      </c>
      <c r="I12" s="7">
        <v>3420</v>
      </c>
      <c r="J12" s="6">
        <v>0.41870048591293235</v>
      </c>
    </row>
    <row r="13" spans="1:10" ht="15">
      <c r="A13" s="27"/>
      <c r="B13" s="4" t="s">
        <v>30</v>
      </c>
      <c r="C13" s="7"/>
      <c r="D13" s="12"/>
      <c r="E13" s="12"/>
      <c r="F13" s="18">
        <v>0</v>
      </c>
      <c r="G13" s="7">
        <v>0</v>
      </c>
      <c r="H13" s="7">
        <v>0</v>
      </c>
      <c r="I13" s="7">
        <v>0</v>
      </c>
      <c r="J13" s="6">
        <v>0</v>
      </c>
    </row>
    <row r="14" spans="1:10" ht="15">
      <c r="A14" s="28"/>
      <c r="B14" s="13" t="s">
        <v>14</v>
      </c>
      <c r="C14" s="13"/>
      <c r="D14" s="14"/>
      <c r="E14" s="13"/>
      <c r="F14" s="15">
        <v>7100</v>
      </c>
      <c r="G14" s="15">
        <v>0</v>
      </c>
      <c r="H14" s="15">
        <v>0</v>
      </c>
      <c r="I14" s="15">
        <v>7100</v>
      </c>
      <c r="J14" s="6">
        <v>0.8692320029186607</v>
      </c>
    </row>
    <row r="15" spans="1:10" ht="15">
      <c r="A15" s="1"/>
      <c r="B15" s="1"/>
      <c r="C15" s="1"/>
      <c r="D15" s="1"/>
      <c r="E15" s="1" t="s">
        <v>31</v>
      </c>
      <c r="F15" s="25">
        <v>3680</v>
      </c>
      <c r="G15" s="25">
        <v>0</v>
      </c>
      <c r="H15" s="25">
        <v>0</v>
      </c>
      <c r="I15" s="7">
        <v>3680</v>
      </c>
      <c r="J15" s="6">
        <v>0.45053151700572835</v>
      </c>
    </row>
    <row r="16" spans="1:10" ht="15">
      <c r="A16" s="1"/>
      <c r="B16" s="1"/>
      <c r="C16" s="1"/>
      <c r="D16" s="1"/>
      <c r="E16" s="1" t="s">
        <v>32</v>
      </c>
      <c r="F16" s="9">
        <v>3420</v>
      </c>
      <c r="G16" s="9">
        <v>0</v>
      </c>
      <c r="H16" s="9">
        <v>0</v>
      </c>
      <c r="I16" s="7">
        <v>3420</v>
      </c>
      <c r="J16" s="6">
        <v>0.41870048591293235</v>
      </c>
    </row>
    <row r="17" spans="1:8" ht="15">
      <c r="A17" s="1"/>
      <c r="B17" s="1"/>
      <c r="C17" s="1"/>
      <c r="D17" s="1"/>
      <c r="E17" s="1"/>
      <c r="F17" s="1"/>
      <c r="G17" s="1"/>
      <c r="H17" s="2"/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</sheetData>
  <sheetProtection/>
  <mergeCells count="11">
    <mergeCell ref="H5:H6"/>
    <mergeCell ref="I5:I6"/>
    <mergeCell ref="J5:J6"/>
    <mergeCell ref="A11:A14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36"/>
  <sheetViews>
    <sheetView tabSelected="1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7" sqref="C7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7109375" style="0" customWidth="1"/>
    <col min="5" max="5" width="16.00390625" style="0" customWidth="1"/>
    <col min="6" max="6" width="15.421875" style="0" customWidth="1"/>
    <col min="7" max="7" width="16.7109375" style="0" customWidth="1"/>
    <col min="8" max="8" width="15.140625" style="0" customWidth="1"/>
    <col min="9" max="9" width="12.28125" style="0" customWidth="1"/>
    <col min="10" max="10" width="12.421875" style="0" customWidth="1"/>
    <col min="11" max="11" width="9.57421875" style="0" bestFit="1" customWidth="1"/>
  </cols>
  <sheetData>
    <row r="3" ht="15.75">
      <c r="C3" s="10" t="s">
        <v>47</v>
      </c>
    </row>
    <row r="4" spans="1:10" ht="15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64.5" customHeight="1">
      <c r="A5" s="29" t="s">
        <v>0</v>
      </c>
      <c r="B5" s="31" t="s">
        <v>1</v>
      </c>
      <c r="C5" s="29" t="s">
        <v>2</v>
      </c>
      <c r="D5" s="34" t="s">
        <v>7</v>
      </c>
      <c r="E5" s="35"/>
      <c r="F5" s="29" t="s">
        <v>11</v>
      </c>
      <c r="G5" s="29" t="s">
        <v>3</v>
      </c>
      <c r="H5" s="29" t="s">
        <v>4</v>
      </c>
      <c r="I5" s="29" t="s">
        <v>5</v>
      </c>
      <c r="J5" s="31" t="s">
        <v>6</v>
      </c>
    </row>
    <row r="6" spans="1:10" ht="23.25" customHeight="1">
      <c r="A6" s="30"/>
      <c r="B6" s="32"/>
      <c r="C6" s="30"/>
      <c r="D6" s="11" t="s">
        <v>12</v>
      </c>
      <c r="E6" s="5" t="s">
        <v>13</v>
      </c>
      <c r="F6" s="30"/>
      <c r="G6" s="30"/>
      <c r="H6" s="30"/>
      <c r="I6" s="30"/>
      <c r="J6" s="32"/>
    </row>
    <row r="7" spans="1:12" ht="15">
      <c r="A7" s="19">
        <v>1</v>
      </c>
      <c r="B7" s="20" t="s">
        <v>18</v>
      </c>
      <c r="C7" s="19"/>
      <c r="D7" s="21"/>
      <c r="E7" s="22"/>
      <c r="F7" s="23">
        <f>57.17+0.29+0.57+0.57+0.29</f>
        <v>58.89</v>
      </c>
      <c r="G7" s="23">
        <f>G8*0.0478</f>
        <v>31.373052</v>
      </c>
      <c r="H7" s="23">
        <f>0.29+0.57+0.57+0.29</f>
        <v>1.7199999999999998</v>
      </c>
      <c r="I7" s="7">
        <f>I8*0.0478</f>
        <v>1.38381478</v>
      </c>
      <c r="J7" s="6">
        <f>I7/8167.32</f>
        <v>0.00016943315310285383</v>
      </c>
      <c r="L7" s="16"/>
    </row>
    <row r="8" spans="1:12" ht="15">
      <c r="A8" s="3">
        <v>2</v>
      </c>
      <c r="B8" s="4" t="s">
        <v>26</v>
      </c>
      <c r="C8" s="6"/>
      <c r="D8" s="8"/>
      <c r="E8" s="8"/>
      <c r="F8" s="6">
        <f>776.76+4.09+7.58+7.58+4.09</f>
        <v>800.1000000000001</v>
      </c>
      <c r="G8" s="36">
        <f>449.12+162.87+44.35</f>
        <v>656.34</v>
      </c>
      <c r="H8" s="7">
        <f>4.09+7.58+7.58+4.09</f>
        <v>23.34</v>
      </c>
      <c r="I8" s="7">
        <f>28.9501</f>
        <v>28.9501</v>
      </c>
      <c r="J8" s="6">
        <f aca="true" t="shared" si="0" ref="J8:J16">I8/8167.32</f>
        <v>0.0035446266339509164</v>
      </c>
      <c r="L8" s="16"/>
    </row>
    <row r="9" spans="1:12" ht="15">
      <c r="A9" s="3">
        <v>3</v>
      </c>
      <c r="B9" s="4" t="s">
        <v>27</v>
      </c>
      <c r="C9" s="37" t="s">
        <v>48</v>
      </c>
      <c r="D9" s="8"/>
      <c r="E9" s="8"/>
      <c r="F9" s="7">
        <f>7591-6567</f>
        <v>1024</v>
      </c>
      <c r="G9" s="36">
        <f>533.5+324.09+66.5</f>
        <v>924.0899999999999</v>
      </c>
      <c r="H9" s="7">
        <v>0</v>
      </c>
      <c r="I9" s="7">
        <f>28.9501</f>
        <v>28.9501</v>
      </c>
      <c r="J9" s="6">
        <f t="shared" si="0"/>
        <v>0.0035446266339509164</v>
      </c>
      <c r="L9" s="16"/>
    </row>
    <row r="10" spans="1:12" ht="15">
      <c r="A10" s="3">
        <v>4</v>
      </c>
      <c r="B10" s="4" t="s">
        <v>29</v>
      </c>
      <c r="C10" s="7"/>
      <c r="D10" s="8"/>
      <c r="E10" s="8"/>
      <c r="F10" s="7">
        <f>F8+F9</f>
        <v>1824.1000000000001</v>
      </c>
      <c r="G10" s="36">
        <f>1001.18+524.75+34.76+30.59</f>
        <v>1591.2799999999997</v>
      </c>
      <c r="H10" s="7">
        <f>H8+H9</f>
        <v>23.34</v>
      </c>
      <c r="I10" s="7">
        <v>0</v>
      </c>
      <c r="J10" s="6">
        <f t="shared" si="0"/>
        <v>0</v>
      </c>
      <c r="K10" s="17"/>
      <c r="L10" s="16"/>
    </row>
    <row r="11" spans="1:12" ht="15">
      <c r="A11" s="26">
        <v>5</v>
      </c>
      <c r="B11" s="4" t="s">
        <v>15</v>
      </c>
      <c r="C11" s="7"/>
      <c r="D11" s="12">
        <v>23931</v>
      </c>
      <c r="E11" s="12">
        <v>24028</v>
      </c>
      <c r="F11" s="18">
        <f>(E11-D11)*20</f>
        <v>1940</v>
      </c>
      <c r="G11" s="7">
        <v>0</v>
      </c>
      <c r="H11" s="7">
        <v>0</v>
      </c>
      <c r="I11" s="7">
        <f>F11-G11-H11</f>
        <v>1940</v>
      </c>
      <c r="J11" s="6">
        <f t="shared" si="0"/>
        <v>0.23753201784673553</v>
      </c>
      <c r="K11" s="17"/>
      <c r="L11" s="16"/>
    </row>
    <row r="12" spans="1:10" ht="15">
      <c r="A12" s="27"/>
      <c r="B12" s="4" t="s">
        <v>16</v>
      </c>
      <c r="C12" s="7"/>
      <c r="D12" s="12">
        <v>23440</v>
      </c>
      <c r="E12" s="12">
        <v>23532</v>
      </c>
      <c r="F12" s="18">
        <f>(E12-D12)*20</f>
        <v>1840</v>
      </c>
      <c r="G12" s="7">
        <v>0</v>
      </c>
      <c r="H12" s="7">
        <v>0</v>
      </c>
      <c r="I12" s="7">
        <f>F12-G12-H12</f>
        <v>1840</v>
      </c>
      <c r="J12" s="6">
        <f t="shared" si="0"/>
        <v>0.2252880994010275</v>
      </c>
    </row>
    <row r="13" spans="1:10" ht="15">
      <c r="A13" s="27"/>
      <c r="B13" s="4" t="s">
        <v>30</v>
      </c>
      <c r="C13" s="7"/>
      <c r="D13" s="12"/>
      <c r="E13" s="12"/>
      <c r="F13" s="18">
        <f>(E13-D13)*20</f>
        <v>0</v>
      </c>
      <c r="G13" s="7">
        <v>0</v>
      </c>
      <c r="H13" s="7">
        <v>0</v>
      </c>
      <c r="I13" s="7">
        <f>F13-G13-H13</f>
        <v>0</v>
      </c>
      <c r="J13" s="6">
        <f t="shared" si="0"/>
        <v>0</v>
      </c>
    </row>
    <row r="14" spans="1:10" ht="15">
      <c r="A14" s="28"/>
      <c r="B14" s="13" t="s">
        <v>14</v>
      </c>
      <c r="C14" s="13"/>
      <c r="D14" s="14"/>
      <c r="E14" s="13"/>
      <c r="F14" s="15">
        <f>SUM(F11:F13)</f>
        <v>3780</v>
      </c>
      <c r="G14" s="15">
        <f>SUM(G11:G12)</f>
        <v>0</v>
      </c>
      <c r="H14" s="15">
        <f>SUM(H11:H13)</f>
        <v>0</v>
      </c>
      <c r="I14" s="15">
        <f>SUM(I11:I13)</f>
        <v>3780</v>
      </c>
      <c r="J14" s="6">
        <f t="shared" si="0"/>
        <v>0.46282011724776306</v>
      </c>
    </row>
    <row r="15" spans="1:10" ht="15">
      <c r="A15" s="1"/>
      <c r="B15" s="1"/>
      <c r="C15" s="1"/>
      <c r="D15" s="1"/>
      <c r="E15" s="1" t="s">
        <v>31</v>
      </c>
      <c r="F15" s="25">
        <f>F11+F13</f>
        <v>1940</v>
      </c>
      <c r="G15" s="25">
        <f>G11+G13</f>
        <v>0</v>
      </c>
      <c r="H15" s="25">
        <f>H11+H13</f>
        <v>0</v>
      </c>
      <c r="I15" s="7">
        <f>F15-G15-H15</f>
        <v>1940</v>
      </c>
      <c r="J15" s="6">
        <f t="shared" si="0"/>
        <v>0.23753201784673553</v>
      </c>
    </row>
    <row r="16" spans="1:10" ht="15">
      <c r="A16" s="1"/>
      <c r="B16" s="1"/>
      <c r="C16" s="1"/>
      <c r="D16" s="1"/>
      <c r="E16" s="1" t="s">
        <v>32</v>
      </c>
      <c r="F16" s="9">
        <f>F12</f>
        <v>1840</v>
      </c>
      <c r="G16" s="9">
        <f>G12</f>
        <v>0</v>
      </c>
      <c r="H16" s="9">
        <f>H12</f>
        <v>0</v>
      </c>
      <c r="I16" s="7">
        <f>F16-G16-H16</f>
        <v>1840</v>
      </c>
      <c r="J16" s="6">
        <f t="shared" si="0"/>
        <v>0.2252880994010275</v>
      </c>
    </row>
    <row r="17" spans="1:8" ht="15">
      <c r="A17" s="1"/>
      <c r="B17" s="1"/>
      <c r="C17" s="1"/>
      <c r="D17" s="1"/>
      <c r="E17" s="1"/>
      <c r="F17" s="1"/>
      <c r="G17" s="1"/>
      <c r="H17" s="2"/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14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6"/>
  <sheetViews>
    <sheetView zoomScalePageLayoutView="0"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J13" sqref="J13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7109375" style="0" customWidth="1"/>
    <col min="5" max="5" width="16.00390625" style="0" customWidth="1"/>
    <col min="6" max="6" width="15.421875" style="0" customWidth="1"/>
    <col min="7" max="7" width="16.7109375" style="0" customWidth="1"/>
    <col min="8" max="8" width="15.140625" style="0" customWidth="1"/>
    <col min="9" max="9" width="12.28125" style="0" customWidth="1"/>
    <col min="10" max="10" width="12.421875" style="0" customWidth="1"/>
    <col min="11" max="11" width="9.57421875" style="0" bestFit="1" customWidth="1"/>
  </cols>
  <sheetData>
    <row r="3" ht="15.75">
      <c r="C3" s="10" t="s">
        <v>21</v>
      </c>
    </row>
    <row r="4" spans="1:10" ht="15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64.5" customHeight="1">
      <c r="A5" s="29" t="s">
        <v>0</v>
      </c>
      <c r="B5" s="31" t="s">
        <v>1</v>
      </c>
      <c r="C5" s="29" t="s">
        <v>2</v>
      </c>
      <c r="D5" s="34" t="s">
        <v>7</v>
      </c>
      <c r="E5" s="35"/>
      <c r="F5" s="29" t="s">
        <v>11</v>
      </c>
      <c r="G5" s="29" t="s">
        <v>3</v>
      </c>
      <c r="H5" s="29" t="s">
        <v>4</v>
      </c>
      <c r="I5" s="29" t="s">
        <v>5</v>
      </c>
      <c r="J5" s="31" t="s">
        <v>6</v>
      </c>
    </row>
    <row r="6" spans="1:10" ht="23.25" customHeight="1">
      <c r="A6" s="30"/>
      <c r="B6" s="32"/>
      <c r="C6" s="30"/>
      <c r="D6" s="11" t="s">
        <v>12</v>
      </c>
      <c r="E6" s="5" t="s">
        <v>13</v>
      </c>
      <c r="F6" s="30"/>
      <c r="G6" s="30"/>
      <c r="H6" s="30"/>
      <c r="I6" s="30"/>
      <c r="J6" s="32"/>
    </row>
    <row r="7" spans="1:12" ht="15">
      <c r="A7" s="19">
        <v>1</v>
      </c>
      <c r="B7" s="20" t="s">
        <v>18</v>
      </c>
      <c r="C7" s="19"/>
      <c r="D7" s="21"/>
      <c r="E7" s="22"/>
      <c r="F7" s="23">
        <f>62.26+0.52+0.26+0.52+0.26</f>
        <v>63.82</v>
      </c>
      <c r="G7" s="23">
        <f>G8*0.0478</f>
        <v>37.26727</v>
      </c>
      <c r="H7" s="23">
        <f>0.52+0.26+0.52+0.26</f>
        <v>1.56</v>
      </c>
      <c r="I7" s="7">
        <f>22.6566*0.0478</f>
        <v>1.08298548</v>
      </c>
      <c r="J7" s="6">
        <f>I7/8168.83</f>
        <v>0.00013257534799965235</v>
      </c>
      <c r="L7" s="16"/>
    </row>
    <row r="8" spans="1:12" ht="15">
      <c r="A8" s="3">
        <v>2</v>
      </c>
      <c r="B8" s="4" t="s">
        <v>9</v>
      </c>
      <c r="C8" s="6"/>
      <c r="D8" s="8"/>
      <c r="E8" s="8"/>
      <c r="F8" s="6">
        <f>776.6+5.75+3.1+5.75+3.1</f>
        <v>794.3000000000001</v>
      </c>
      <c r="G8" s="7">
        <f>509.27+219.6+50.78</f>
        <v>779.65</v>
      </c>
      <c r="H8" s="7">
        <f>5.75+3.1+5.75+3.1</f>
        <v>17.7</v>
      </c>
      <c r="I8" s="7">
        <f>F8-G8-H8</f>
        <v>-3.0499999999999083</v>
      </c>
      <c r="J8" s="6">
        <f aca="true" t="shared" si="0" ref="J8:J13">I8/8168.83</f>
        <v>-0.00037337048267621045</v>
      </c>
      <c r="L8" s="16"/>
    </row>
    <row r="9" spans="1:12" ht="15">
      <c r="A9" s="3">
        <v>3</v>
      </c>
      <c r="B9" s="4" t="s">
        <v>17</v>
      </c>
      <c r="C9" s="7" t="s">
        <v>22</v>
      </c>
      <c r="D9" s="8"/>
      <c r="E9" s="8"/>
      <c r="F9" s="7">
        <f>29.429*31</f>
        <v>912.299</v>
      </c>
      <c r="G9" s="7">
        <f>606.25+298.94+38.99</f>
        <v>944.1800000000001</v>
      </c>
      <c r="H9" s="7">
        <v>0</v>
      </c>
      <c r="I9" s="7">
        <f>F9-G9-H9</f>
        <v>-31.881000000000085</v>
      </c>
      <c r="J9" s="6">
        <f t="shared" si="0"/>
        <v>-0.0039027620846559525</v>
      </c>
      <c r="L9" s="16"/>
    </row>
    <row r="10" spans="1:12" ht="15">
      <c r="A10" s="3">
        <v>4</v>
      </c>
      <c r="B10" s="4" t="s">
        <v>10</v>
      </c>
      <c r="C10" s="7"/>
      <c r="D10" s="8"/>
      <c r="E10" s="8"/>
      <c r="F10" s="7">
        <f>F8+F9</f>
        <v>1706.5990000000002</v>
      </c>
      <c r="G10" s="7">
        <f>1098.64+527.23+66.44+26.67</f>
        <v>1718.9800000000002</v>
      </c>
      <c r="H10" s="7">
        <f>H8+H9</f>
        <v>17.7</v>
      </c>
      <c r="I10" s="7">
        <v>0</v>
      </c>
      <c r="J10" s="6">
        <f t="shared" si="0"/>
        <v>0</v>
      </c>
      <c r="K10" s="17"/>
      <c r="L10" s="16"/>
    </row>
    <row r="11" spans="1:12" ht="15">
      <c r="A11" s="26">
        <v>5</v>
      </c>
      <c r="B11" s="4" t="s">
        <v>15</v>
      </c>
      <c r="C11" s="7"/>
      <c r="D11" s="12">
        <v>22383</v>
      </c>
      <c r="E11" s="12">
        <v>22556</v>
      </c>
      <c r="F11" s="18">
        <f>(E11-D11)*20</f>
        <v>3460</v>
      </c>
      <c r="G11" s="7">
        <v>0</v>
      </c>
      <c r="H11" s="7">
        <v>0</v>
      </c>
      <c r="I11" s="7">
        <f>F11-G11-H11</f>
        <v>3460</v>
      </c>
      <c r="J11" s="6">
        <f t="shared" si="0"/>
        <v>0.42356126887204165</v>
      </c>
      <c r="K11" s="17"/>
      <c r="L11" s="16"/>
    </row>
    <row r="12" spans="1:10" ht="15">
      <c r="A12" s="27"/>
      <c r="B12" s="4" t="s">
        <v>16</v>
      </c>
      <c r="C12" s="7"/>
      <c r="D12" s="12">
        <v>22090</v>
      </c>
      <c r="E12" s="12">
        <v>22243</v>
      </c>
      <c r="F12" s="18">
        <f>(E12-D12)*20</f>
        <v>3060</v>
      </c>
      <c r="G12" s="7">
        <v>0</v>
      </c>
      <c r="H12" s="7">
        <v>0</v>
      </c>
      <c r="I12" s="7">
        <f>F12-G12-H12</f>
        <v>3060</v>
      </c>
      <c r="J12" s="6">
        <f t="shared" si="0"/>
        <v>0.37459464819319294</v>
      </c>
    </row>
    <row r="13" spans="1:10" ht="15">
      <c r="A13" s="28"/>
      <c r="B13" s="13" t="s">
        <v>14</v>
      </c>
      <c r="C13" s="13"/>
      <c r="D13" s="14"/>
      <c r="E13" s="13"/>
      <c r="F13" s="15">
        <f>SUM(F11:F12)</f>
        <v>6520</v>
      </c>
      <c r="G13" s="15">
        <f>SUM(G11:G12)</f>
        <v>0</v>
      </c>
      <c r="H13" s="15">
        <f>SUM(H11:H12)</f>
        <v>0</v>
      </c>
      <c r="I13" s="15">
        <f>SUM(I11:I12)</f>
        <v>6520</v>
      </c>
      <c r="J13" s="6">
        <f t="shared" si="0"/>
        <v>0.7981559170652346</v>
      </c>
    </row>
    <row r="14" spans="1:8" ht="15">
      <c r="A14" s="1"/>
      <c r="B14" s="1"/>
      <c r="C14" s="1"/>
      <c r="D14" s="1"/>
      <c r="E14" s="1"/>
      <c r="F14" s="1"/>
      <c r="G14" s="9"/>
      <c r="H14" s="2"/>
    </row>
    <row r="15" spans="1:8" ht="15">
      <c r="A15" s="1"/>
      <c r="B15" s="1"/>
      <c r="C15" s="1"/>
      <c r="D15" s="1"/>
      <c r="E15" s="1"/>
      <c r="F15" s="1"/>
      <c r="G15" s="1"/>
      <c r="H15" s="2"/>
    </row>
    <row r="16" spans="1:8" ht="15">
      <c r="A16" s="1"/>
      <c r="B16" s="1"/>
      <c r="C16" s="1"/>
      <c r="D16" s="1"/>
      <c r="E16" s="1"/>
      <c r="F16" s="1"/>
      <c r="G16" s="1"/>
      <c r="H16" s="2"/>
    </row>
    <row r="17" spans="1:8" ht="15">
      <c r="A17" s="1"/>
      <c r="B17" s="1"/>
      <c r="C17" s="1"/>
      <c r="D17" s="1"/>
      <c r="E17" s="1"/>
      <c r="F17" s="1"/>
      <c r="G17" s="1"/>
      <c r="H17" s="2"/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A11:A13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6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7109375" style="0" customWidth="1"/>
    <col min="5" max="5" width="16.00390625" style="0" customWidth="1"/>
    <col min="6" max="6" width="15.421875" style="0" customWidth="1"/>
    <col min="7" max="7" width="16.7109375" style="0" customWidth="1"/>
    <col min="8" max="8" width="15.140625" style="0" customWidth="1"/>
    <col min="9" max="9" width="12.28125" style="0" customWidth="1"/>
    <col min="10" max="10" width="12.421875" style="0" customWidth="1"/>
    <col min="11" max="11" width="9.57421875" style="0" bestFit="1" customWidth="1"/>
  </cols>
  <sheetData>
    <row r="3" ht="15.75">
      <c r="C3" s="10" t="s">
        <v>23</v>
      </c>
    </row>
    <row r="4" spans="1:10" ht="15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64.5" customHeight="1">
      <c r="A5" s="29" t="s">
        <v>0</v>
      </c>
      <c r="B5" s="31" t="s">
        <v>1</v>
      </c>
      <c r="C5" s="29" t="s">
        <v>2</v>
      </c>
      <c r="D5" s="34" t="s">
        <v>7</v>
      </c>
      <c r="E5" s="35"/>
      <c r="F5" s="29" t="s">
        <v>11</v>
      </c>
      <c r="G5" s="29" t="s">
        <v>3</v>
      </c>
      <c r="H5" s="29" t="s">
        <v>4</v>
      </c>
      <c r="I5" s="29" t="s">
        <v>5</v>
      </c>
      <c r="J5" s="31" t="s">
        <v>6</v>
      </c>
    </row>
    <row r="6" spans="1:10" ht="23.25" customHeight="1">
      <c r="A6" s="30"/>
      <c r="B6" s="32"/>
      <c r="C6" s="30"/>
      <c r="D6" s="11" t="s">
        <v>12</v>
      </c>
      <c r="E6" s="5" t="s">
        <v>13</v>
      </c>
      <c r="F6" s="30"/>
      <c r="G6" s="30"/>
      <c r="H6" s="30"/>
      <c r="I6" s="30"/>
      <c r="J6" s="32"/>
    </row>
    <row r="7" spans="1:12" ht="15">
      <c r="A7" s="19">
        <v>1</v>
      </c>
      <c r="B7" s="20" t="s">
        <v>18</v>
      </c>
      <c r="C7" s="19"/>
      <c r="D7" s="21"/>
      <c r="E7" s="22"/>
      <c r="F7" s="23">
        <f>60.62+0.25+0.5+0.5+0.25</f>
        <v>62.12</v>
      </c>
      <c r="G7" s="23">
        <f>G8*0.0478</f>
        <v>37.861902</v>
      </c>
      <c r="H7" s="23">
        <f>0.25+0.5+0.5+0.25</f>
        <v>1.5</v>
      </c>
      <c r="I7" s="23">
        <f>22.6566*0.0478</f>
        <v>1.08298548</v>
      </c>
      <c r="J7" s="6">
        <f>I7/8168.83</f>
        <v>0.00013257534799965235</v>
      </c>
      <c r="L7" s="16"/>
    </row>
    <row r="8" spans="1:12" ht="15">
      <c r="A8" s="3">
        <v>2</v>
      </c>
      <c r="B8" s="4" t="s">
        <v>9</v>
      </c>
      <c r="C8" s="6"/>
      <c r="D8" s="8"/>
      <c r="E8" s="8"/>
      <c r="F8" s="6">
        <f>729.78+2.91+5.4+5.4+2.91</f>
        <v>746.3999999999999</v>
      </c>
      <c r="G8" s="7">
        <f>505.26+252.87+33.96</f>
        <v>792.09</v>
      </c>
      <c r="H8" s="7">
        <f>2.91+5.4+5.4+2.91</f>
        <v>16.62</v>
      </c>
      <c r="I8" s="7">
        <f>F8-G8-H8</f>
        <v>-62.31000000000017</v>
      </c>
      <c r="J8" s="6">
        <f aca="true" t="shared" si="0" ref="J8:J13">I8/8168.83</f>
        <v>-0.007627775336247685</v>
      </c>
      <c r="L8" s="16"/>
    </row>
    <row r="9" spans="1:12" ht="15">
      <c r="A9" s="3">
        <v>3</v>
      </c>
      <c r="B9" s="4" t="s">
        <v>17</v>
      </c>
      <c r="C9" s="24" t="s">
        <v>24</v>
      </c>
      <c r="D9" s="8"/>
      <c r="E9" s="8"/>
      <c r="F9" s="7">
        <f>29.197+759.122+24</f>
        <v>812.319</v>
      </c>
      <c r="G9" s="7">
        <f>601.4+323.664+16.67</f>
        <v>941.7339999999999</v>
      </c>
      <c r="H9" s="7">
        <v>0</v>
      </c>
      <c r="I9" s="7">
        <f>F9-G9-H9</f>
        <v>-129.41499999999996</v>
      </c>
      <c r="J9" s="6">
        <f t="shared" si="0"/>
        <v>-0.015842538037883023</v>
      </c>
      <c r="L9" s="16"/>
    </row>
    <row r="10" spans="1:12" ht="15">
      <c r="A10" s="3">
        <v>4</v>
      </c>
      <c r="B10" s="4" t="s">
        <v>10</v>
      </c>
      <c r="C10" s="7"/>
      <c r="D10" s="8"/>
      <c r="E10" s="8"/>
      <c r="F10" s="7">
        <f>F8+F9</f>
        <v>1558.7189999999998</v>
      </c>
      <c r="G10" s="7">
        <f>1089.78+580.524+32.65+26.02</f>
        <v>1728.9740000000002</v>
      </c>
      <c r="H10" s="7">
        <f>H8+H9</f>
        <v>16.62</v>
      </c>
      <c r="I10" s="7">
        <v>0</v>
      </c>
      <c r="J10" s="6">
        <f t="shared" si="0"/>
        <v>0</v>
      </c>
      <c r="K10" s="17"/>
      <c r="L10" s="16"/>
    </row>
    <row r="11" spans="1:12" ht="15">
      <c r="A11" s="26">
        <v>5</v>
      </c>
      <c r="B11" s="4" t="s">
        <v>15</v>
      </c>
      <c r="C11" s="7"/>
      <c r="D11" s="12">
        <v>22556</v>
      </c>
      <c r="E11" s="12">
        <v>22700</v>
      </c>
      <c r="F11" s="18">
        <f>(E11-D11)*20</f>
        <v>2880</v>
      </c>
      <c r="G11" s="7">
        <v>0</v>
      </c>
      <c r="H11" s="7">
        <v>0</v>
      </c>
      <c r="I11" s="7">
        <f>F11-G11-H11</f>
        <v>2880</v>
      </c>
      <c r="J11" s="6">
        <f t="shared" si="0"/>
        <v>0.35255966888771095</v>
      </c>
      <c r="K11" s="17"/>
      <c r="L11" s="16"/>
    </row>
    <row r="12" spans="1:10" ht="15">
      <c r="A12" s="27"/>
      <c r="B12" s="4" t="s">
        <v>16</v>
      </c>
      <c r="C12" s="7"/>
      <c r="D12" s="12">
        <v>22243</v>
      </c>
      <c r="E12" s="12">
        <v>22388</v>
      </c>
      <c r="F12" s="18">
        <f>(E12-D12)*20</f>
        <v>2900</v>
      </c>
      <c r="G12" s="7">
        <v>0</v>
      </c>
      <c r="H12" s="7">
        <v>0</v>
      </c>
      <c r="I12" s="7">
        <f>F12-G12-H12</f>
        <v>2900</v>
      </c>
      <c r="J12" s="6">
        <f t="shared" si="0"/>
        <v>0.3550079999216534</v>
      </c>
    </row>
    <row r="13" spans="1:10" ht="15">
      <c r="A13" s="28"/>
      <c r="B13" s="13" t="s">
        <v>14</v>
      </c>
      <c r="C13" s="13"/>
      <c r="D13" s="14"/>
      <c r="E13" s="13"/>
      <c r="F13" s="15">
        <f>SUM(F11:F12)</f>
        <v>5780</v>
      </c>
      <c r="G13" s="15">
        <f>SUM(G11:G12)</f>
        <v>0</v>
      </c>
      <c r="H13" s="15">
        <f>SUM(H11:H12)</f>
        <v>0</v>
      </c>
      <c r="I13" s="15">
        <f>SUM(I11:I12)</f>
        <v>5780</v>
      </c>
      <c r="J13" s="6">
        <f t="shared" si="0"/>
        <v>0.7075676688093644</v>
      </c>
    </row>
    <row r="14" spans="1:8" ht="15">
      <c r="A14" s="1"/>
      <c r="B14" s="1"/>
      <c r="C14" s="1"/>
      <c r="D14" s="1"/>
      <c r="E14" s="1"/>
      <c r="F14" s="1"/>
      <c r="G14" s="9"/>
      <c r="H14" s="2"/>
    </row>
    <row r="15" spans="1:8" ht="15">
      <c r="A15" s="1"/>
      <c r="B15" s="1"/>
      <c r="C15" s="1"/>
      <c r="D15" s="1"/>
      <c r="E15" s="1"/>
      <c r="F15" s="1"/>
      <c r="G15" s="1"/>
      <c r="H15" s="2"/>
    </row>
    <row r="16" spans="1:8" ht="15">
      <c r="A16" s="1"/>
      <c r="B16" s="1"/>
      <c r="C16" s="1"/>
      <c r="D16" s="1"/>
      <c r="E16" s="1"/>
      <c r="F16" s="1"/>
      <c r="G16" s="1"/>
      <c r="H16" s="2"/>
    </row>
    <row r="17" spans="1:8" ht="15">
      <c r="A17" s="1"/>
      <c r="B17" s="1"/>
      <c r="C17" s="1"/>
      <c r="D17" s="1"/>
      <c r="E17" s="1"/>
      <c r="F17" s="1"/>
      <c r="G17" s="1"/>
      <c r="H17" s="2"/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</sheetData>
  <sheetProtection/>
  <mergeCells count="11">
    <mergeCell ref="A11:A13"/>
    <mergeCell ref="I5:I6"/>
    <mergeCell ref="J5:J6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6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7109375" style="0" customWidth="1"/>
    <col min="5" max="5" width="16.00390625" style="0" customWidth="1"/>
    <col min="6" max="6" width="15.421875" style="0" customWidth="1"/>
    <col min="7" max="7" width="16.7109375" style="0" customWidth="1"/>
    <col min="8" max="8" width="15.140625" style="0" customWidth="1"/>
    <col min="9" max="9" width="12.28125" style="0" customWidth="1"/>
    <col min="10" max="10" width="12.421875" style="0" customWidth="1"/>
    <col min="11" max="11" width="9.57421875" style="0" bestFit="1" customWidth="1"/>
  </cols>
  <sheetData>
    <row r="3" ht="15.75">
      <c r="C3" s="10" t="s">
        <v>25</v>
      </c>
    </row>
    <row r="4" spans="1:10" ht="15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64.5" customHeight="1">
      <c r="A5" s="29" t="s">
        <v>0</v>
      </c>
      <c r="B5" s="31" t="s">
        <v>1</v>
      </c>
      <c r="C5" s="29" t="s">
        <v>2</v>
      </c>
      <c r="D5" s="34" t="s">
        <v>7</v>
      </c>
      <c r="E5" s="35"/>
      <c r="F5" s="29" t="s">
        <v>11</v>
      </c>
      <c r="G5" s="29" t="s">
        <v>3</v>
      </c>
      <c r="H5" s="29" t="s">
        <v>4</v>
      </c>
      <c r="I5" s="29" t="s">
        <v>5</v>
      </c>
      <c r="J5" s="31" t="s">
        <v>6</v>
      </c>
    </row>
    <row r="6" spans="1:10" ht="23.25" customHeight="1">
      <c r="A6" s="30"/>
      <c r="B6" s="32"/>
      <c r="C6" s="30"/>
      <c r="D6" s="11" t="s">
        <v>12</v>
      </c>
      <c r="E6" s="5" t="s">
        <v>13</v>
      </c>
      <c r="F6" s="30"/>
      <c r="G6" s="30"/>
      <c r="H6" s="30"/>
      <c r="I6" s="30"/>
      <c r="J6" s="32"/>
    </row>
    <row r="7" spans="1:12" ht="15">
      <c r="A7" s="19">
        <v>1</v>
      </c>
      <c r="B7" s="20" t="s">
        <v>18</v>
      </c>
      <c r="C7" s="19"/>
      <c r="D7" s="21"/>
      <c r="E7" s="22"/>
      <c r="F7" s="23">
        <f>59.21+0.25+0.49+0.49+0.25</f>
        <v>60.690000000000005</v>
      </c>
      <c r="G7" s="23">
        <f>G8*0.0478</f>
        <v>26.989792</v>
      </c>
      <c r="H7" s="23">
        <f>0.25+0.49+0.49+0.25</f>
        <v>1.48</v>
      </c>
      <c r="I7" s="7">
        <f>22.6566*0.0478</f>
        <v>1.08298548</v>
      </c>
      <c r="J7" s="6">
        <f>I7/8168.53</f>
        <v>0.000132580217003549</v>
      </c>
      <c r="L7" s="16"/>
    </row>
    <row r="8" spans="1:12" ht="15">
      <c r="A8" s="3">
        <v>2</v>
      </c>
      <c r="B8" s="4" t="s">
        <v>26</v>
      </c>
      <c r="C8" s="6"/>
      <c r="D8" s="8"/>
      <c r="E8" s="8"/>
      <c r="F8" s="6">
        <f>680+2.71+5.04+5.04+2.71</f>
        <v>695.5</v>
      </c>
      <c r="G8" s="7">
        <f>501.25+34+29.39</f>
        <v>564.64</v>
      </c>
      <c r="H8" s="7">
        <f>2.71+5.04+5.04+2.71</f>
        <v>15.5</v>
      </c>
      <c r="I8" s="7">
        <v>22.6566</v>
      </c>
      <c r="J8" s="6">
        <f aca="true" t="shared" si="0" ref="J8:J16">I8/8168.53</f>
        <v>0.0027736447071872177</v>
      </c>
      <c r="L8" s="16"/>
    </row>
    <row r="9" spans="1:12" ht="15">
      <c r="A9" s="3">
        <v>3</v>
      </c>
      <c r="B9" s="4" t="s">
        <v>27</v>
      </c>
      <c r="C9" s="24" t="s">
        <v>28</v>
      </c>
      <c r="D9" s="8"/>
      <c r="E9" s="8"/>
      <c r="F9" s="7">
        <f>29.495+144+683</f>
        <v>856.495</v>
      </c>
      <c r="G9" s="7">
        <f>596.55+287.966+14.18</f>
        <v>898.6959999999999</v>
      </c>
      <c r="H9" s="7">
        <v>0</v>
      </c>
      <c r="I9" s="7">
        <f>F9-G9-H9</f>
        <v>-42.20099999999991</v>
      </c>
      <c r="J9" s="6">
        <f t="shared" si="0"/>
        <v>-0.005166290630015427</v>
      </c>
      <c r="L9" s="16"/>
    </row>
    <row r="10" spans="1:12" ht="15">
      <c r="A10" s="3">
        <v>4</v>
      </c>
      <c r="B10" s="4" t="s">
        <v>29</v>
      </c>
      <c r="C10" s="7"/>
      <c r="D10" s="8"/>
      <c r="E10" s="8"/>
      <c r="F10" s="7">
        <f>F8+F9</f>
        <v>1551.995</v>
      </c>
      <c r="G10" s="7">
        <f>1080.92+317.586+34.73+25.25</f>
        <v>1458.486</v>
      </c>
      <c r="H10" s="7">
        <f>H8+H9</f>
        <v>15.5</v>
      </c>
      <c r="I10" s="7">
        <v>0</v>
      </c>
      <c r="J10" s="6">
        <f t="shared" si="0"/>
        <v>0</v>
      </c>
      <c r="K10" s="17"/>
      <c r="L10" s="16"/>
    </row>
    <row r="11" spans="1:12" ht="15">
      <c r="A11" s="26">
        <v>5</v>
      </c>
      <c r="B11" s="4" t="s">
        <v>15</v>
      </c>
      <c r="C11" s="7"/>
      <c r="D11" s="12">
        <v>22700</v>
      </c>
      <c r="E11" s="12">
        <v>22840</v>
      </c>
      <c r="F11" s="18">
        <f>(E11-D11)*20</f>
        <v>2800</v>
      </c>
      <c r="G11" s="7">
        <v>0</v>
      </c>
      <c r="H11" s="7">
        <v>0</v>
      </c>
      <c r="I11" s="7">
        <f>F11-G11-H11</f>
        <v>2800</v>
      </c>
      <c r="J11" s="6">
        <f t="shared" si="0"/>
        <v>0.3427789332964438</v>
      </c>
      <c r="K11" s="17"/>
      <c r="L11" s="16"/>
    </row>
    <row r="12" spans="1:10" ht="15">
      <c r="A12" s="27"/>
      <c r="B12" s="4" t="s">
        <v>16</v>
      </c>
      <c r="C12" s="7"/>
      <c r="D12" s="12">
        <v>22388</v>
      </c>
      <c r="E12" s="12">
        <v>22530</v>
      </c>
      <c r="F12" s="18">
        <f>(E12-D12)*20</f>
        <v>2840</v>
      </c>
      <c r="G12" s="7">
        <v>0</v>
      </c>
      <c r="H12" s="7">
        <v>0</v>
      </c>
      <c r="I12" s="7">
        <f>F12-G12-H12</f>
        <v>2840</v>
      </c>
      <c r="J12" s="6">
        <f t="shared" si="0"/>
        <v>0.3476757752006787</v>
      </c>
    </row>
    <row r="13" spans="1:10" ht="15">
      <c r="A13" s="27"/>
      <c r="B13" s="4" t="s">
        <v>30</v>
      </c>
      <c r="C13" s="7"/>
      <c r="D13" s="12">
        <v>7017</v>
      </c>
      <c r="E13" s="12">
        <v>7117</v>
      </c>
      <c r="F13" s="18">
        <f>(E13-D13)*20</f>
        <v>2000</v>
      </c>
      <c r="G13" s="7">
        <v>0</v>
      </c>
      <c r="H13" s="7">
        <v>0</v>
      </c>
      <c r="I13" s="7">
        <f>F13-G13-H13</f>
        <v>2000</v>
      </c>
      <c r="J13" s="6">
        <f t="shared" si="0"/>
        <v>0.24484209521174558</v>
      </c>
    </row>
    <row r="14" spans="1:10" ht="15">
      <c r="A14" s="28"/>
      <c r="B14" s="13" t="s">
        <v>14</v>
      </c>
      <c r="C14" s="13"/>
      <c r="D14" s="14"/>
      <c r="E14" s="13"/>
      <c r="F14" s="15">
        <f>SUM(F11:F13)</f>
        <v>7640</v>
      </c>
      <c r="G14" s="15">
        <f>SUM(G11:G12)</f>
        <v>0</v>
      </c>
      <c r="H14" s="15">
        <f>SUM(H11:H13)</f>
        <v>0</v>
      </c>
      <c r="I14" s="15">
        <f>SUM(I11:I13)</f>
        <v>7640</v>
      </c>
      <c r="J14" s="6">
        <f t="shared" si="0"/>
        <v>0.9352968037088681</v>
      </c>
    </row>
    <row r="15" spans="1:10" ht="15">
      <c r="A15" s="1"/>
      <c r="B15" s="1"/>
      <c r="C15" s="1"/>
      <c r="D15" s="1"/>
      <c r="E15" s="1" t="s">
        <v>31</v>
      </c>
      <c r="F15" s="25">
        <f>F11+F13</f>
        <v>4800</v>
      </c>
      <c r="G15" s="25">
        <f>G11+G13</f>
        <v>0</v>
      </c>
      <c r="H15" s="25">
        <f>H11+H13</f>
        <v>0</v>
      </c>
      <c r="I15" s="7">
        <f>F15-G15-H15</f>
        <v>4800</v>
      </c>
      <c r="J15" s="6">
        <f t="shared" si="0"/>
        <v>0.5876210285081894</v>
      </c>
    </row>
    <row r="16" spans="1:10" ht="15">
      <c r="A16" s="1"/>
      <c r="B16" s="1"/>
      <c r="C16" s="1"/>
      <c r="D16" s="1"/>
      <c r="E16" s="1" t="s">
        <v>32</v>
      </c>
      <c r="F16" s="9">
        <f>F12</f>
        <v>2840</v>
      </c>
      <c r="G16" s="9">
        <f>G12</f>
        <v>0</v>
      </c>
      <c r="H16" s="9">
        <f>H12</f>
        <v>0</v>
      </c>
      <c r="I16" s="7">
        <f>F16-G16-H16</f>
        <v>2840</v>
      </c>
      <c r="J16" s="6">
        <f t="shared" si="0"/>
        <v>0.3476757752006787</v>
      </c>
    </row>
    <row r="17" spans="1:8" ht="15">
      <c r="A17" s="1"/>
      <c r="B17" s="1"/>
      <c r="C17" s="1"/>
      <c r="D17" s="1"/>
      <c r="E17" s="1"/>
      <c r="F17" s="1"/>
      <c r="G17" s="1"/>
      <c r="H17" s="2"/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</sheetData>
  <sheetProtection/>
  <mergeCells count="11">
    <mergeCell ref="I5:I6"/>
    <mergeCell ref="J5:J6"/>
    <mergeCell ref="A11:A14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6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8" sqref="E8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7109375" style="0" customWidth="1"/>
    <col min="5" max="5" width="16.00390625" style="0" customWidth="1"/>
    <col min="6" max="6" width="15.421875" style="0" customWidth="1"/>
    <col min="7" max="7" width="16.7109375" style="0" customWidth="1"/>
    <col min="8" max="8" width="15.140625" style="0" customWidth="1"/>
    <col min="9" max="9" width="12.28125" style="0" customWidth="1"/>
    <col min="10" max="10" width="12.421875" style="0" customWidth="1"/>
    <col min="11" max="11" width="9.57421875" style="0" bestFit="1" customWidth="1"/>
  </cols>
  <sheetData>
    <row r="3" ht="15.75">
      <c r="C3" s="10" t="s">
        <v>33</v>
      </c>
    </row>
    <row r="4" spans="1:10" ht="15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64.5" customHeight="1">
      <c r="A5" s="29" t="s">
        <v>0</v>
      </c>
      <c r="B5" s="31" t="s">
        <v>1</v>
      </c>
      <c r="C5" s="29" t="s">
        <v>2</v>
      </c>
      <c r="D5" s="34" t="s">
        <v>7</v>
      </c>
      <c r="E5" s="35"/>
      <c r="F5" s="29" t="s">
        <v>11</v>
      </c>
      <c r="G5" s="29" t="s">
        <v>3</v>
      </c>
      <c r="H5" s="29" t="s">
        <v>4</v>
      </c>
      <c r="I5" s="29" t="s">
        <v>5</v>
      </c>
      <c r="J5" s="31" t="s">
        <v>6</v>
      </c>
    </row>
    <row r="6" spans="1:10" ht="23.25" customHeight="1">
      <c r="A6" s="30"/>
      <c r="B6" s="32"/>
      <c r="C6" s="30"/>
      <c r="D6" s="11" t="s">
        <v>12</v>
      </c>
      <c r="E6" s="5" t="s">
        <v>13</v>
      </c>
      <c r="F6" s="30"/>
      <c r="G6" s="30"/>
      <c r="H6" s="30"/>
      <c r="I6" s="30"/>
      <c r="J6" s="32"/>
    </row>
    <row r="7" spans="1:12" ht="15">
      <c r="A7" s="19">
        <v>1</v>
      </c>
      <c r="B7" s="20" t="s">
        <v>18</v>
      </c>
      <c r="C7" s="19"/>
      <c r="D7" s="21"/>
      <c r="E7" s="22"/>
      <c r="F7" s="23">
        <f>40.59+0.17+0.34+0.34+0.17</f>
        <v>41.610000000000014</v>
      </c>
      <c r="G7" s="23">
        <f>G8*0.0478</f>
        <v>30.897442</v>
      </c>
      <c r="H7" s="23">
        <f>0.17+0.34+0.34+0.17</f>
        <v>1.02</v>
      </c>
      <c r="I7" s="7">
        <f>I8*0.0478</f>
        <v>1.08298548</v>
      </c>
      <c r="J7" s="6">
        <f aca="true" t="shared" si="0" ref="J7:J16">I7/8168.53</f>
        <v>0.000132580217003549</v>
      </c>
      <c r="L7" s="16"/>
    </row>
    <row r="8" spans="1:12" ht="15">
      <c r="A8" s="3">
        <v>2</v>
      </c>
      <c r="B8" s="4" t="s">
        <v>26</v>
      </c>
      <c r="C8" s="6"/>
      <c r="D8" s="8"/>
      <c r="E8" s="8"/>
      <c r="F8" s="6">
        <f>675.22+2.69+5+5+2.69</f>
        <v>690.6000000000001</v>
      </c>
      <c r="G8" s="7">
        <f>501.25+121.64+23.5</f>
        <v>646.39</v>
      </c>
      <c r="H8" s="7">
        <f>2.69+5+5+2.69</f>
        <v>15.379999999999999</v>
      </c>
      <c r="I8" s="7">
        <v>22.6566</v>
      </c>
      <c r="J8" s="6">
        <f t="shared" si="0"/>
        <v>0.0027736447071872177</v>
      </c>
      <c r="L8" s="16"/>
    </row>
    <row r="9" spans="1:12" ht="15">
      <c r="A9" s="3">
        <v>3</v>
      </c>
      <c r="B9" s="4" t="s">
        <v>27</v>
      </c>
      <c r="C9" s="24" t="s">
        <v>34</v>
      </c>
      <c r="D9" s="8"/>
      <c r="E9" s="8"/>
      <c r="F9" s="7">
        <f>1719-827</f>
        <v>892</v>
      </c>
      <c r="G9" s="7">
        <f>596.55+206.49+19.03</f>
        <v>822.0699999999999</v>
      </c>
      <c r="H9" s="7">
        <v>0</v>
      </c>
      <c r="I9" s="7">
        <v>22.6566</v>
      </c>
      <c r="J9" s="6">
        <f t="shared" si="0"/>
        <v>0.0027736447071872177</v>
      </c>
      <c r="L9" s="16"/>
    </row>
    <row r="10" spans="1:12" ht="15">
      <c r="A10" s="3">
        <v>4</v>
      </c>
      <c r="B10" s="4" t="s">
        <v>29</v>
      </c>
      <c r="C10" s="7"/>
      <c r="D10" s="8"/>
      <c r="E10" s="8"/>
      <c r="F10" s="7">
        <f>F8+F9</f>
        <v>1582.6000000000001</v>
      </c>
      <c r="G10" s="7">
        <f>1080.92+330.07+28.26+24.36</f>
        <v>1463.61</v>
      </c>
      <c r="H10" s="7">
        <f>H8+H9</f>
        <v>15.379999999999999</v>
      </c>
      <c r="I10" s="7">
        <v>0</v>
      </c>
      <c r="J10" s="6">
        <f t="shared" si="0"/>
        <v>0</v>
      </c>
      <c r="K10" s="17"/>
      <c r="L10" s="16"/>
    </row>
    <row r="11" spans="1:12" ht="15">
      <c r="A11" s="26">
        <v>5</v>
      </c>
      <c r="B11" s="4" t="s">
        <v>15</v>
      </c>
      <c r="C11" s="7"/>
      <c r="D11" s="12">
        <v>22840</v>
      </c>
      <c r="E11" s="12">
        <v>22980</v>
      </c>
      <c r="F11" s="18">
        <f>(E11-D11)*20</f>
        <v>2800</v>
      </c>
      <c r="G11" s="7">
        <v>0</v>
      </c>
      <c r="H11" s="7">
        <v>0</v>
      </c>
      <c r="I11" s="7">
        <f>F11-G11-H11</f>
        <v>2800</v>
      </c>
      <c r="J11" s="6">
        <f t="shared" si="0"/>
        <v>0.3427789332964438</v>
      </c>
      <c r="K11" s="17"/>
      <c r="L11" s="16"/>
    </row>
    <row r="12" spans="1:10" ht="15">
      <c r="A12" s="27"/>
      <c r="B12" s="4" t="s">
        <v>16</v>
      </c>
      <c r="C12" s="7"/>
      <c r="D12" s="12">
        <v>22530</v>
      </c>
      <c r="E12" s="12">
        <v>22684</v>
      </c>
      <c r="F12" s="18">
        <f>(E12-D12)*20</f>
        <v>3080</v>
      </c>
      <c r="G12" s="7">
        <v>0</v>
      </c>
      <c r="H12" s="7">
        <v>0</v>
      </c>
      <c r="I12" s="7">
        <f>F12-G12-H12</f>
        <v>3080</v>
      </c>
      <c r="J12" s="6">
        <f t="shared" si="0"/>
        <v>0.3770568266260882</v>
      </c>
    </row>
    <row r="13" spans="1:10" ht="15">
      <c r="A13" s="27"/>
      <c r="B13" s="4" t="s">
        <v>30</v>
      </c>
      <c r="C13" s="7"/>
      <c r="D13" s="12"/>
      <c r="E13" s="12"/>
      <c r="F13" s="18">
        <f>(E13-D13)*20</f>
        <v>0</v>
      </c>
      <c r="G13" s="7">
        <v>0</v>
      </c>
      <c r="H13" s="7">
        <v>0</v>
      </c>
      <c r="I13" s="7">
        <f>F13-G13-H13</f>
        <v>0</v>
      </c>
      <c r="J13" s="6">
        <f t="shared" si="0"/>
        <v>0</v>
      </c>
    </row>
    <row r="14" spans="1:10" ht="15">
      <c r="A14" s="28"/>
      <c r="B14" s="13" t="s">
        <v>14</v>
      </c>
      <c r="C14" s="13"/>
      <c r="D14" s="14"/>
      <c r="E14" s="13"/>
      <c r="F14" s="15">
        <f>SUM(F11:F13)</f>
        <v>5880</v>
      </c>
      <c r="G14" s="15">
        <f>SUM(G11:G12)</f>
        <v>0</v>
      </c>
      <c r="H14" s="15">
        <f>SUM(H11:H13)</f>
        <v>0</v>
      </c>
      <c r="I14" s="15">
        <f>SUM(I11:I13)</f>
        <v>5880</v>
      </c>
      <c r="J14" s="6">
        <f t="shared" si="0"/>
        <v>0.719835759922532</v>
      </c>
    </row>
    <row r="15" spans="1:10" ht="15">
      <c r="A15" s="1"/>
      <c r="B15" s="1"/>
      <c r="C15" s="1"/>
      <c r="D15" s="1"/>
      <c r="E15" s="1" t="s">
        <v>31</v>
      </c>
      <c r="F15" s="25">
        <f>F11+F13</f>
        <v>2800</v>
      </c>
      <c r="G15" s="25">
        <f>G11+G13</f>
        <v>0</v>
      </c>
      <c r="H15" s="25">
        <f>H11+H13</f>
        <v>0</v>
      </c>
      <c r="I15" s="7">
        <f>F15-G15-H15</f>
        <v>2800</v>
      </c>
      <c r="J15" s="6">
        <f t="shared" si="0"/>
        <v>0.3427789332964438</v>
      </c>
    </row>
    <row r="16" spans="1:10" ht="15">
      <c r="A16" s="1"/>
      <c r="B16" s="1"/>
      <c r="C16" s="1"/>
      <c r="D16" s="1"/>
      <c r="E16" s="1" t="s">
        <v>32</v>
      </c>
      <c r="F16" s="9">
        <f>F12</f>
        <v>3080</v>
      </c>
      <c r="G16" s="9">
        <f>G12</f>
        <v>0</v>
      </c>
      <c r="H16" s="9">
        <f>H12</f>
        <v>0</v>
      </c>
      <c r="I16" s="7">
        <f>F16-G16-H16</f>
        <v>3080</v>
      </c>
      <c r="J16" s="6">
        <f t="shared" si="0"/>
        <v>0.3770568266260882</v>
      </c>
    </row>
    <row r="17" spans="1:8" ht="15">
      <c r="A17" s="1"/>
      <c r="B17" s="1"/>
      <c r="C17" s="1"/>
      <c r="D17" s="1"/>
      <c r="E17" s="1"/>
      <c r="F17" s="1"/>
      <c r="G17" s="1"/>
      <c r="H17" s="2"/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</sheetData>
  <sheetProtection/>
  <mergeCells count="11">
    <mergeCell ref="J5:J6"/>
    <mergeCell ref="A11:A14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36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7109375" style="0" customWidth="1"/>
    <col min="5" max="5" width="16.00390625" style="0" customWidth="1"/>
    <col min="6" max="6" width="15.421875" style="0" customWidth="1"/>
    <col min="7" max="7" width="16.7109375" style="0" customWidth="1"/>
    <col min="8" max="8" width="15.140625" style="0" customWidth="1"/>
    <col min="9" max="9" width="12.28125" style="0" customWidth="1"/>
    <col min="10" max="10" width="12.421875" style="0" customWidth="1"/>
    <col min="11" max="11" width="9.57421875" style="0" bestFit="1" customWidth="1"/>
  </cols>
  <sheetData>
    <row r="3" ht="15.75">
      <c r="C3" s="10" t="s">
        <v>35</v>
      </c>
    </row>
    <row r="4" spans="1:10" ht="15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64.5" customHeight="1">
      <c r="A5" s="29" t="s">
        <v>0</v>
      </c>
      <c r="B5" s="31" t="s">
        <v>1</v>
      </c>
      <c r="C5" s="29" t="s">
        <v>2</v>
      </c>
      <c r="D5" s="34" t="s">
        <v>7</v>
      </c>
      <c r="E5" s="35"/>
      <c r="F5" s="29" t="s">
        <v>11</v>
      </c>
      <c r="G5" s="29" t="s">
        <v>3</v>
      </c>
      <c r="H5" s="29" t="s">
        <v>4</v>
      </c>
      <c r="I5" s="29" t="s">
        <v>5</v>
      </c>
      <c r="J5" s="31" t="s">
        <v>6</v>
      </c>
    </row>
    <row r="6" spans="1:10" ht="23.25" customHeight="1">
      <c r="A6" s="30"/>
      <c r="B6" s="32"/>
      <c r="C6" s="30"/>
      <c r="D6" s="11" t="s">
        <v>12</v>
      </c>
      <c r="E6" s="5" t="s">
        <v>13</v>
      </c>
      <c r="F6" s="30"/>
      <c r="G6" s="30"/>
      <c r="H6" s="30"/>
      <c r="I6" s="30"/>
      <c r="J6" s="32"/>
    </row>
    <row r="7" spans="1:12" ht="15">
      <c r="A7" s="19">
        <v>1</v>
      </c>
      <c r="B7" s="20" t="s">
        <v>18</v>
      </c>
      <c r="C7" s="19"/>
      <c r="D7" s="21"/>
      <c r="E7" s="22"/>
      <c r="F7" s="23">
        <f>25.1+0.1+0.21+0.21+0.1</f>
        <v>25.720000000000006</v>
      </c>
      <c r="G7" s="23">
        <f>G8*0.0478</f>
        <v>36.63965600000001</v>
      </c>
      <c r="H7" s="23">
        <f>0.1+0.21+0.21+0.1</f>
        <v>0.62</v>
      </c>
      <c r="I7" s="7">
        <f>F7-G7-H7</f>
        <v>-11.539656000000003</v>
      </c>
      <c r="J7" s="6">
        <f aca="true" t="shared" si="0" ref="J7:J16">I7/8168.53</f>
        <v>-0.0014126967765313958</v>
      </c>
      <c r="L7" s="16"/>
    </row>
    <row r="8" spans="1:12" ht="15">
      <c r="A8" s="3">
        <v>2</v>
      </c>
      <c r="B8" s="4" t="s">
        <v>26</v>
      </c>
      <c r="C8" s="6"/>
      <c r="D8" s="8"/>
      <c r="E8" s="8"/>
      <c r="F8" s="6">
        <f>716.28+2.86+5.3+5.3+2.86</f>
        <v>732.5999999999999</v>
      </c>
      <c r="G8" s="7">
        <f>505.26+237.19+24.07</f>
        <v>766.5200000000001</v>
      </c>
      <c r="H8" s="7">
        <f>2.86+5.3+5.3+2.86</f>
        <v>16.32</v>
      </c>
      <c r="I8" s="7">
        <f>F8-G8-H8</f>
        <v>-50.24000000000019</v>
      </c>
      <c r="J8" s="6">
        <f t="shared" si="0"/>
        <v>-0.006150433431719071</v>
      </c>
      <c r="L8" s="16"/>
    </row>
    <row r="9" spans="1:12" ht="15">
      <c r="A9" s="3">
        <v>3</v>
      </c>
      <c r="B9" s="4" t="s">
        <v>27</v>
      </c>
      <c r="C9" s="24" t="s">
        <v>36</v>
      </c>
      <c r="D9" s="8"/>
      <c r="E9" s="8"/>
      <c r="F9" s="7">
        <f>2490-1719</f>
        <v>771</v>
      </c>
      <c r="G9" s="7">
        <f>601.4+259.96+14.58</f>
        <v>875.9399999999999</v>
      </c>
      <c r="H9" s="7">
        <v>0</v>
      </c>
      <c r="I9" s="7">
        <f>F9-G9-H9</f>
        <v>-104.93999999999994</v>
      </c>
      <c r="J9" s="6">
        <f t="shared" si="0"/>
        <v>-0.012846864735760284</v>
      </c>
      <c r="L9" s="16"/>
    </row>
    <row r="10" spans="1:12" ht="15">
      <c r="A10" s="3">
        <v>4</v>
      </c>
      <c r="B10" s="4" t="s">
        <v>29</v>
      </c>
      <c r="C10" s="7"/>
      <c r="D10" s="8"/>
      <c r="E10" s="8"/>
      <c r="F10" s="7">
        <f>F8+F9</f>
        <v>1503.6</v>
      </c>
      <c r="G10" s="7">
        <f>1089.78+497.08+27.42+23.33</f>
        <v>1637.61</v>
      </c>
      <c r="H10" s="7">
        <f>H8+H9</f>
        <v>16.32</v>
      </c>
      <c r="I10" s="7">
        <v>0</v>
      </c>
      <c r="J10" s="6">
        <f t="shared" si="0"/>
        <v>0</v>
      </c>
      <c r="K10" s="17"/>
      <c r="L10" s="16"/>
    </row>
    <row r="11" spans="1:12" ht="15">
      <c r="A11" s="26">
        <v>5</v>
      </c>
      <c r="B11" s="4" t="s">
        <v>15</v>
      </c>
      <c r="C11" s="7"/>
      <c r="D11" s="12">
        <v>22980</v>
      </c>
      <c r="E11" s="12">
        <v>23103</v>
      </c>
      <c r="F11" s="18">
        <f>(E11-D11)*20</f>
        <v>2460</v>
      </c>
      <c r="G11" s="7">
        <v>0</v>
      </c>
      <c r="H11" s="7">
        <v>0</v>
      </c>
      <c r="I11" s="7">
        <f>F11-G11-H11</f>
        <v>2460</v>
      </c>
      <c r="J11" s="6">
        <f t="shared" si="0"/>
        <v>0.30115577711044705</v>
      </c>
      <c r="K11" s="17"/>
      <c r="L11" s="16"/>
    </row>
    <row r="12" spans="1:10" ht="15">
      <c r="A12" s="27"/>
      <c r="B12" s="4" t="s">
        <v>16</v>
      </c>
      <c r="C12" s="7"/>
      <c r="D12" s="12">
        <v>22684</v>
      </c>
      <c r="E12" s="12">
        <v>22782</v>
      </c>
      <c r="F12" s="18">
        <f>(E12-D12)*20</f>
        <v>1960</v>
      </c>
      <c r="G12" s="7">
        <v>0</v>
      </c>
      <c r="H12" s="7">
        <v>0</v>
      </c>
      <c r="I12" s="7">
        <f>F12-G12-H12</f>
        <v>1960</v>
      </c>
      <c r="J12" s="6">
        <f t="shared" si="0"/>
        <v>0.23994525330751065</v>
      </c>
    </row>
    <row r="13" spans="1:10" ht="15">
      <c r="A13" s="27"/>
      <c r="B13" s="4" t="s">
        <v>30</v>
      </c>
      <c r="C13" s="7"/>
      <c r="D13" s="12">
        <v>7117</v>
      </c>
      <c r="E13" s="12">
        <v>7017</v>
      </c>
      <c r="F13" s="18">
        <f>(E13-D13)*20</f>
        <v>-2000</v>
      </c>
      <c r="G13" s="7">
        <v>0</v>
      </c>
      <c r="H13" s="7">
        <v>0</v>
      </c>
      <c r="I13" s="7">
        <f>F13-G13-H13</f>
        <v>-2000</v>
      </c>
      <c r="J13" s="6">
        <f t="shared" si="0"/>
        <v>-0.24484209521174558</v>
      </c>
    </row>
    <row r="14" spans="1:10" ht="15">
      <c r="A14" s="28"/>
      <c r="B14" s="13" t="s">
        <v>14</v>
      </c>
      <c r="C14" s="13"/>
      <c r="D14" s="14"/>
      <c r="E14" s="13"/>
      <c r="F14" s="15">
        <f>SUM(F11:F13)</f>
        <v>2420</v>
      </c>
      <c r="G14" s="15">
        <f>SUM(G11:G12)</f>
        <v>0</v>
      </c>
      <c r="H14" s="15">
        <f>SUM(H11:H13)</f>
        <v>0</v>
      </c>
      <c r="I14" s="15">
        <f>SUM(I11:I13)</f>
        <v>2420</v>
      </c>
      <c r="J14" s="6">
        <f t="shared" si="0"/>
        <v>0.29625893520621216</v>
      </c>
    </row>
    <row r="15" spans="1:10" ht="15">
      <c r="A15" s="1"/>
      <c r="B15" s="1"/>
      <c r="C15" s="1"/>
      <c r="D15" s="1"/>
      <c r="E15" s="1" t="s">
        <v>31</v>
      </c>
      <c r="F15" s="25">
        <f>F11+F13</f>
        <v>460</v>
      </c>
      <c r="G15" s="25">
        <f>G11+G13</f>
        <v>0</v>
      </c>
      <c r="H15" s="25">
        <f>H11+H13</f>
        <v>0</v>
      </c>
      <c r="I15" s="7">
        <f>F15-G15-H15</f>
        <v>460</v>
      </c>
      <c r="J15" s="6">
        <f t="shared" si="0"/>
        <v>0.05631368189870148</v>
      </c>
    </row>
    <row r="16" spans="1:10" ht="15">
      <c r="A16" s="1"/>
      <c r="B16" s="1"/>
      <c r="C16" s="1"/>
      <c r="D16" s="1"/>
      <c r="E16" s="1" t="s">
        <v>32</v>
      </c>
      <c r="F16" s="9">
        <f>F12</f>
        <v>1960</v>
      </c>
      <c r="G16" s="9">
        <f>G12</f>
        <v>0</v>
      </c>
      <c r="H16" s="9">
        <f>H12</f>
        <v>0</v>
      </c>
      <c r="I16" s="7">
        <f>F16-G16-H16</f>
        <v>1960</v>
      </c>
      <c r="J16" s="6">
        <f t="shared" si="0"/>
        <v>0.23994525330751065</v>
      </c>
    </row>
    <row r="17" spans="1:8" ht="15">
      <c r="A17" s="1"/>
      <c r="B17" s="1"/>
      <c r="C17" s="1"/>
      <c r="D17" s="1"/>
      <c r="E17" s="1"/>
      <c r="F17" s="1"/>
      <c r="G17" s="1"/>
      <c r="H17" s="2"/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14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L36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7109375" style="0" customWidth="1"/>
    <col min="5" max="5" width="16.00390625" style="0" customWidth="1"/>
    <col min="6" max="6" width="15.421875" style="0" customWidth="1"/>
    <col min="7" max="7" width="16.7109375" style="0" customWidth="1"/>
    <col min="8" max="8" width="15.140625" style="0" customWidth="1"/>
    <col min="9" max="9" width="12.28125" style="0" customWidth="1"/>
    <col min="10" max="10" width="12.421875" style="0" customWidth="1"/>
    <col min="11" max="11" width="9.57421875" style="0" bestFit="1" customWidth="1"/>
  </cols>
  <sheetData>
    <row r="3" ht="15.75">
      <c r="C3" s="10" t="s">
        <v>37</v>
      </c>
    </row>
    <row r="4" spans="1:10" ht="15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64.5" customHeight="1">
      <c r="A5" s="29" t="s">
        <v>0</v>
      </c>
      <c r="B5" s="31" t="s">
        <v>1</v>
      </c>
      <c r="C5" s="29" t="s">
        <v>2</v>
      </c>
      <c r="D5" s="34" t="s">
        <v>7</v>
      </c>
      <c r="E5" s="35"/>
      <c r="F5" s="29" t="s">
        <v>11</v>
      </c>
      <c r="G5" s="29" t="s">
        <v>3</v>
      </c>
      <c r="H5" s="29" t="s">
        <v>4</v>
      </c>
      <c r="I5" s="29" t="s">
        <v>5</v>
      </c>
      <c r="J5" s="31" t="s">
        <v>6</v>
      </c>
    </row>
    <row r="6" spans="1:10" ht="23.25" customHeight="1">
      <c r="A6" s="30"/>
      <c r="B6" s="32"/>
      <c r="C6" s="30"/>
      <c r="D6" s="11" t="s">
        <v>12</v>
      </c>
      <c r="E6" s="5" t="s">
        <v>13</v>
      </c>
      <c r="F6" s="30"/>
      <c r="G6" s="30"/>
      <c r="H6" s="30"/>
      <c r="I6" s="30"/>
      <c r="J6" s="32"/>
    </row>
    <row r="7" spans="1:12" ht="15">
      <c r="A7" s="19">
        <v>1</v>
      </c>
      <c r="B7" s="20" t="s">
        <v>18</v>
      </c>
      <c r="C7" s="19"/>
      <c r="D7" s="21"/>
      <c r="E7" s="22"/>
      <c r="F7" s="23">
        <f>25.62+0.11+0.21+0.21+0.11</f>
        <v>26.26</v>
      </c>
      <c r="G7" s="23">
        <f>G8*0.0478</f>
        <v>35.7305</v>
      </c>
      <c r="H7" s="23">
        <f>0.11+0.21+0.21+0.11</f>
        <v>0.64</v>
      </c>
      <c r="I7" s="7">
        <f>F7-G7-H7</f>
        <v>-10.110499999999998</v>
      </c>
      <c r="J7" s="6">
        <f aca="true" t="shared" si="0" ref="J7:J16">I7/8168.53</f>
        <v>-0.0012377380018191767</v>
      </c>
      <c r="L7" s="16"/>
    </row>
    <row r="8" spans="1:12" ht="15">
      <c r="A8" s="3">
        <v>2</v>
      </c>
      <c r="B8" s="4" t="s">
        <v>26</v>
      </c>
      <c r="C8" s="6"/>
      <c r="D8" s="8"/>
      <c r="E8" s="8"/>
      <c r="F8" s="6">
        <f>700.82+2.8+5.19+5.19+2.8</f>
        <v>716.8000000000001</v>
      </c>
      <c r="G8" s="7">
        <f>505.26+220.93+21.31</f>
        <v>747.5</v>
      </c>
      <c r="H8" s="7">
        <f>2.8+5.19+5.19+2.8</f>
        <v>15.98</v>
      </c>
      <c r="I8" s="7">
        <f>F8-G8-H8</f>
        <v>-46.679999999999936</v>
      </c>
      <c r="J8" s="6">
        <f t="shared" si="0"/>
        <v>-0.005714614502242134</v>
      </c>
      <c r="L8" s="16"/>
    </row>
    <row r="9" spans="1:12" ht="15">
      <c r="A9" s="3">
        <v>3</v>
      </c>
      <c r="B9" s="4" t="s">
        <v>27</v>
      </c>
      <c r="C9" s="24" t="s">
        <v>38</v>
      </c>
      <c r="D9" s="8"/>
      <c r="E9" s="8"/>
      <c r="F9" s="7">
        <f>3249-2490</f>
        <v>759</v>
      </c>
      <c r="G9" s="7">
        <f>601.4+171.56+11.57</f>
        <v>784.5300000000001</v>
      </c>
      <c r="H9" s="7">
        <v>0</v>
      </c>
      <c r="I9" s="7">
        <f>F9-G9-H9</f>
        <v>-25.530000000000086</v>
      </c>
      <c r="J9" s="6">
        <f t="shared" si="0"/>
        <v>-0.003125409345377943</v>
      </c>
      <c r="L9" s="16"/>
    </row>
    <row r="10" spans="1:12" ht="15">
      <c r="A10" s="3">
        <v>4</v>
      </c>
      <c r="B10" s="4" t="s">
        <v>29</v>
      </c>
      <c r="C10" s="7"/>
      <c r="D10" s="8"/>
      <c r="E10" s="8"/>
      <c r="F10" s="7">
        <f>F8+F9</f>
        <v>1475.8000000000002</v>
      </c>
      <c r="G10" s="7">
        <f>1089.78+386.23+20.58+30.59</f>
        <v>1527.1799999999998</v>
      </c>
      <c r="H10" s="7">
        <f>H8+H9</f>
        <v>15.98</v>
      </c>
      <c r="I10" s="7">
        <v>0</v>
      </c>
      <c r="J10" s="6">
        <f t="shared" si="0"/>
        <v>0</v>
      </c>
      <c r="K10" s="17"/>
      <c r="L10" s="16"/>
    </row>
    <row r="11" spans="1:12" ht="15">
      <c r="A11" s="26">
        <v>5</v>
      </c>
      <c r="B11" s="4" t="s">
        <v>15</v>
      </c>
      <c r="C11" s="7"/>
      <c r="D11" s="12">
        <v>23103</v>
      </c>
      <c r="E11" s="12">
        <v>23238</v>
      </c>
      <c r="F11" s="18">
        <f>(E11-D11)*20</f>
        <v>2700</v>
      </c>
      <c r="G11" s="7">
        <v>0</v>
      </c>
      <c r="H11" s="7">
        <v>0</v>
      </c>
      <c r="I11" s="7">
        <f>F11-G11-H11</f>
        <v>2700</v>
      </c>
      <c r="J11" s="6">
        <f t="shared" si="0"/>
        <v>0.33053682853585653</v>
      </c>
      <c r="K11" s="17"/>
      <c r="L11" s="16"/>
    </row>
    <row r="12" spans="1:10" ht="15">
      <c r="A12" s="27"/>
      <c r="B12" s="4" t="s">
        <v>16</v>
      </c>
      <c r="C12" s="7"/>
      <c r="D12" s="12">
        <v>22782</v>
      </c>
      <c r="E12" s="12">
        <v>22878</v>
      </c>
      <c r="F12" s="18">
        <f>(E12-D12)*20</f>
        <v>1920</v>
      </c>
      <c r="G12" s="7">
        <v>0</v>
      </c>
      <c r="H12" s="7">
        <v>0</v>
      </c>
      <c r="I12" s="7">
        <f>F12-G12-H12</f>
        <v>1920</v>
      </c>
      <c r="J12" s="6">
        <f t="shared" si="0"/>
        <v>0.23504841140327576</v>
      </c>
    </row>
    <row r="13" spans="1:10" ht="15">
      <c r="A13" s="27"/>
      <c r="B13" s="4" t="s">
        <v>30</v>
      </c>
      <c r="C13" s="7"/>
      <c r="D13" s="12">
        <v>7017</v>
      </c>
      <c r="E13" s="12">
        <v>7017</v>
      </c>
      <c r="F13" s="18">
        <f>(E13-D13)*20</f>
        <v>0</v>
      </c>
      <c r="G13" s="7">
        <v>0</v>
      </c>
      <c r="H13" s="7">
        <v>0</v>
      </c>
      <c r="I13" s="7">
        <f>F13-G13-H13</f>
        <v>0</v>
      </c>
      <c r="J13" s="6">
        <f t="shared" si="0"/>
        <v>0</v>
      </c>
    </row>
    <row r="14" spans="1:10" ht="15">
      <c r="A14" s="28"/>
      <c r="B14" s="13" t="s">
        <v>14</v>
      </c>
      <c r="C14" s="13"/>
      <c r="D14" s="14"/>
      <c r="E14" s="13"/>
      <c r="F14" s="15">
        <f>SUM(F11:F13)</f>
        <v>4620</v>
      </c>
      <c r="G14" s="15">
        <f>SUM(G11:G12)</f>
        <v>0</v>
      </c>
      <c r="H14" s="15">
        <f>SUM(H11:H13)</f>
        <v>0</v>
      </c>
      <c r="I14" s="15">
        <f>SUM(I11:I13)</f>
        <v>4620</v>
      </c>
      <c r="J14" s="6">
        <f t="shared" si="0"/>
        <v>0.5655852399391322</v>
      </c>
    </row>
    <row r="15" spans="1:10" ht="15">
      <c r="A15" s="1"/>
      <c r="B15" s="1"/>
      <c r="C15" s="1"/>
      <c r="D15" s="1"/>
      <c r="E15" s="1" t="s">
        <v>31</v>
      </c>
      <c r="F15" s="25">
        <f>F11+F13</f>
        <v>2700</v>
      </c>
      <c r="G15" s="25">
        <f>G11+G13</f>
        <v>0</v>
      </c>
      <c r="H15" s="25">
        <f>H11+H13</f>
        <v>0</v>
      </c>
      <c r="I15" s="7">
        <f>F15-G15-H15</f>
        <v>2700</v>
      </c>
      <c r="J15" s="6">
        <f t="shared" si="0"/>
        <v>0.33053682853585653</v>
      </c>
    </row>
    <row r="16" spans="1:10" ht="15">
      <c r="A16" s="1"/>
      <c r="B16" s="1"/>
      <c r="C16" s="1"/>
      <c r="D16" s="1"/>
      <c r="E16" s="1" t="s">
        <v>32</v>
      </c>
      <c r="F16" s="9">
        <f>F12</f>
        <v>1920</v>
      </c>
      <c r="G16" s="9">
        <f>G12</f>
        <v>0</v>
      </c>
      <c r="H16" s="9">
        <f>H12</f>
        <v>0</v>
      </c>
      <c r="I16" s="7">
        <f>F16-G16-H16</f>
        <v>1920</v>
      </c>
      <c r="J16" s="6">
        <f t="shared" si="0"/>
        <v>0.23504841140327576</v>
      </c>
    </row>
    <row r="17" spans="1:8" ht="15">
      <c r="A17" s="1"/>
      <c r="B17" s="1"/>
      <c r="C17" s="1"/>
      <c r="D17" s="1"/>
      <c r="E17" s="1"/>
      <c r="F17" s="1"/>
      <c r="G17" s="1"/>
      <c r="H17" s="2"/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</sheetData>
  <sheetProtection/>
  <mergeCells count="11">
    <mergeCell ref="A11:A14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36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3" sqref="B3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7109375" style="0" customWidth="1"/>
    <col min="5" max="5" width="16.00390625" style="0" customWidth="1"/>
    <col min="6" max="6" width="15.421875" style="0" customWidth="1"/>
    <col min="7" max="7" width="16.7109375" style="0" customWidth="1"/>
    <col min="8" max="8" width="15.140625" style="0" customWidth="1"/>
    <col min="9" max="9" width="12.28125" style="0" customWidth="1"/>
    <col min="10" max="10" width="12.421875" style="0" customWidth="1"/>
    <col min="11" max="11" width="9.57421875" style="0" bestFit="1" customWidth="1"/>
  </cols>
  <sheetData>
    <row r="3" ht="15.75">
      <c r="C3" s="10" t="s">
        <v>39</v>
      </c>
    </row>
    <row r="4" spans="1:10" ht="15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64.5" customHeight="1">
      <c r="A5" s="29" t="s">
        <v>0</v>
      </c>
      <c r="B5" s="31" t="s">
        <v>1</v>
      </c>
      <c r="C5" s="29" t="s">
        <v>2</v>
      </c>
      <c r="D5" s="34" t="s">
        <v>7</v>
      </c>
      <c r="E5" s="35"/>
      <c r="F5" s="29" t="s">
        <v>11</v>
      </c>
      <c r="G5" s="29" t="s">
        <v>3</v>
      </c>
      <c r="H5" s="29" t="s">
        <v>4</v>
      </c>
      <c r="I5" s="29" t="s">
        <v>5</v>
      </c>
      <c r="J5" s="31" t="s">
        <v>6</v>
      </c>
    </row>
    <row r="6" spans="1:10" ht="23.25" customHeight="1">
      <c r="A6" s="30"/>
      <c r="B6" s="32"/>
      <c r="C6" s="30"/>
      <c r="D6" s="11" t="s">
        <v>12</v>
      </c>
      <c r="E6" s="5" t="s">
        <v>13</v>
      </c>
      <c r="F6" s="30"/>
      <c r="G6" s="30"/>
      <c r="H6" s="30"/>
      <c r="I6" s="30"/>
      <c r="J6" s="32"/>
    </row>
    <row r="7" spans="1:12" ht="15">
      <c r="A7" s="19">
        <v>1</v>
      </c>
      <c r="B7" s="20" t="s">
        <v>18</v>
      </c>
      <c r="C7" s="19"/>
      <c r="D7" s="21"/>
      <c r="E7" s="22"/>
      <c r="F7" s="23">
        <v>29.4</v>
      </c>
      <c r="G7" s="23">
        <v>35.019269460000004</v>
      </c>
      <c r="H7" s="23">
        <v>0.86</v>
      </c>
      <c r="I7" s="7">
        <v>-6.479269460000006</v>
      </c>
      <c r="J7" s="6">
        <v>-0.0007931989550139383</v>
      </c>
      <c r="L7" s="16"/>
    </row>
    <row r="8" spans="1:12" ht="15">
      <c r="A8" s="3">
        <v>2</v>
      </c>
      <c r="B8" s="4" t="s">
        <v>26</v>
      </c>
      <c r="C8" s="6"/>
      <c r="D8" s="8"/>
      <c r="E8" s="8"/>
      <c r="F8" s="6">
        <v>988.5000000000001</v>
      </c>
      <c r="G8" s="7">
        <v>732.6207</v>
      </c>
      <c r="H8" s="7">
        <v>29.08</v>
      </c>
      <c r="I8" s="7">
        <v>22.6566</v>
      </c>
      <c r="J8" s="6">
        <v>0.0027736447071872177</v>
      </c>
      <c r="L8" s="16"/>
    </row>
    <row r="9" spans="1:12" ht="15">
      <c r="A9" s="3">
        <v>3</v>
      </c>
      <c r="B9" s="4" t="s">
        <v>27</v>
      </c>
      <c r="C9" s="24" t="s">
        <v>40</v>
      </c>
      <c r="D9" s="8"/>
      <c r="E9" s="8"/>
      <c r="F9" s="7">
        <v>819</v>
      </c>
      <c r="G9" s="7">
        <v>979.1867</v>
      </c>
      <c r="H9" s="7">
        <v>0</v>
      </c>
      <c r="I9" s="7">
        <v>-160.18669999999997</v>
      </c>
      <c r="J9" s="6">
        <v>-0.01961022362652766</v>
      </c>
      <c r="L9" s="16"/>
    </row>
    <row r="10" spans="1:12" ht="15">
      <c r="A10" s="3">
        <v>4</v>
      </c>
      <c r="B10" s="4" t="s">
        <v>29</v>
      </c>
      <c r="C10" s="7"/>
      <c r="D10" s="8"/>
      <c r="E10" s="8"/>
      <c r="F10" s="7">
        <v>1807.5</v>
      </c>
      <c r="G10" s="7">
        <v>1706.9572999999998</v>
      </c>
      <c r="H10" s="7">
        <v>29.08</v>
      </c>
      <c r="I10" s="7">
        <v>0</v>
      </c>
      <c r="J10" s="6">
        <v>0</v>
      </c>
      <c r="K10" s="17"/>
      <c r="L10" s="16"/>
    </row>
    <row r="11" spans="1:12" ht="15">
      <c r="A11" s="26">
        <v>5</v>
      </c>
      <c r="B11" s="4" t="s">
        <v>15</v>
      </c>
      <c r="C11" s="7"/>
      <c r="D11" s="12">
        <v>23238</v>
      </c>
      <c r="E11" s="12">
        <v>23403</v>
      </c>
      <c r="F11" s="18">
        <v>3300</v>
      </c>
      <c r="G11" s="7">
        <v>0</v>
      </c>
      <c r="H11" s="7">
        <v>0</v>
      </c>
      <c r="I11" s="7">
        <v>3300</v>
      </c>
      <c r="J11" s="6">
        <v>0.4039894570993802</v>
      </c>
      <c r="K11" s="17"/>
      <c r="L11" s="16"/>
    </row>
    <row r="12" spans="1:10" ht="15">
      <c r="A12" s="27"/>
      <c r="B12" s="4" t="s">
        <v>16</v>
      </c>
      <c r="C12" s="7"/>
      <c r="D12" s="12">
        <v>22878</v>
      </c>
      <c r="E12" s="12">
        <v>23010</v>
      </c>
      <c r="F12" s="18">
        <v>2640</v>
      </c>
      <c r="G12" s="7">
        <v>0</v>
      </c>
      <c r="H12" s="7">
        <v>0</v>
      </c>
      <c r="I12" s="7">
        <v>2640</v>
      </c>
      <c r="J12" s="6">
        <v>0.32319156567950413</v>
      </c>
    </row>
    <row r="13" spans="1:10" ht="15">
      <c r="A13" s="27"/>
      <c r="B13" s="4" t="s">
        <v>30</v>
      </c>
      <c r="C13" s="7"/>
      <c r="D13" s="12">
        <v>7017</v>
      </c>
      <c r="E13" s="12">
        <v>7019</v>
      </c>
      <c r="F13" s="18">
        <v>40</v>
      </c>
      <c r="G13" s="7">
        <v>0</v>
      </c>
      <c r="H13" s="7">
        <v>0</v>
      </c>
      <c r="I13" s="7">
        <v>40</v>
      </c>
      <c r="J13" s="6">
        <v>0.004896841904234912</v>
      </c>
    </row>
    <row r="14" spans="1:10" ht="15">
      <c r="A14" s="28"/>
      <c r="B14" s="13" t="s">
        <v>14</v>
      </c>
      <c r="C14" s="13"/>
      <c r="D14" s="14"/>
      <c r="E14" s="13"/>
      <c r="F14" s="15">
        <v>5980</v>
      </c>
      <c r="G14" s="15">
        <v>0</v>
      </c>
      <c r="H14" s="15">
        <v>0</v>
      </c>
      <c r="I14" s="15">
        <v>5980</v>
      </c>
      <c r="J14" s="6">
        <v>0.7320778646831193</v>
      </c>
    </row>
    <row r="15" spans="1:10" ht="15">
      <c r="A15" s="1"/>
      <c r="B15" s="1"/>
      <c r="C15" s="1"/>
      <c r="D15" s="1"/>
      <c r="E15" s="1" t="s">
        <v>31</v>
      </c>
      <c r="F15" s="25">
        <v>3340</v>
      </c>
      <c r="G15" s="25">
        <v>0</v>
      </c>
      <c r="H15" s="25">
        <v>0</v>
      </c>
      <c r="I15" s="7">
        <v>3340</v>
      </c>
      <c r="J15" s="6">
        <v>0.4088862990036151</v>
      </c>
    </row>
    <row r="16" spans="1:10" ht="15">
      <c r="A16" s="1"/>
      <c r="B16" s="1"/>
      <c r="C16" s="1"/>
      <c r="D16" s="1"/>
      <c r="E16" s="1" t="s">
        <v>32</v>
      </c>
      <c r="F16" s="9">
        <v>2640</v>
      </c>
      <c r="G16" s="9">
        <v>0</v>
      </c>
      <c r="H16" s="9">
        <v>0</v>
      </c>
      <c r="I16" s="7">
        <v>2640</v>
      </c>
      <c r="J16" s="6">
        <v>0.32319156567950413</v>
      </c>
    </row>
    <row r="17" spans="1:8" ht="15">
      <c r="A17" s="1"/>
      <c r="B17" s="1"/>
      <c r="C17" s="1"/>
      <c r="D17" s="1"/>
      <c r="E17" s="1"/>
      <c r="F17" s="1"/>
      <c r="G17" s="1"/>
      <c r="H17" s="2"/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14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36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17.7109375" style="0" customWidth="1"/>
    <col min="4" max="4" width="15.7109375" style="0" customWidth="1"/>
    <col min="5" max="5" width="16.00390625" style="0" customWidth="1"/>
    <col min="6" max="6" width="15.421875" style="0" customWidth="1"/>
    <col min="7" max="7" width="16.7109375" style="0" customWidth="1"/>
    <col min="8" max="8" width="15.140625" style="0" customWidth="1"/>
    <col min="9" max="9" width="12.28125" style="0" customWidth="1"/>
    <col min="10" max="10" width="12.421875" style="0" customWidth="1"/>
    <col min="11" max="11" width="9.57421875" style="0" bestFit="1" customWidth="1"/>
  </cols>
  <sheetData>
    <row r="3" ht="15.75">
      <c r="C3" s="10" t="s">
        <v>41</v>
      </c>
    </row>
    <row r="4" spans="1:10" ht="15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64.5" customHeight="1">
      <c r="A5" s="29" t="s">
        <v>0</v>
      </c>
      <c r="B5" s="31" t="s">
        <v>1</v>
      </c>
      <c r="C5" s="29" t="s">
        <v>2</v>
      </c>
      <c r="D5" s="34" t="s">
        <v>7</v>
      </c>
      <c r="E5" s="35"/>
      <c r="F5" s="29" t="s">
        <v>11</v>
      </c>
      <c r="G5" s="29" t="s">
        <v>3</v>
      </c>
      <c r="H5" s="29" t="s">
        <v>4</v>
      </c>
      <c r="I5" s="29" t="s">
        <v>5</v>
      </c>
      <c r="J5" s="31" t="s">
        <v>6</v>
      </c>
    </row>
    <row r="6" spans="1:10" ht="23.25" customHeight="1">
      <c r="A6" s="30"/>
      <c r="B6" s="32"/>
      <c r="C6" s="30"/>
      <c r="D6" s="11" t="s">
        <v>12</v>
      </c>
      <c r="E6" s="5" t="s">
        <v>13</v>
      </c>
      <c r="F6" s="30"/>
      <c r="G6" s="30"/>
      <c r="H6" s="30"/>
      <c r="I6" s="30"/>
      <c r="J6" s="32"/>
    </row>
    <row r="7" spans="1:12" ht="15">
      <c r="A7" s="19">
        <v>1</v>
      </c>
      <c r="B7" s="20" t="s">
        <v>18</v>
      </c>
      <c r="C7" s="19"/>
      <c r="D7" s="21"/>
      <c r="E7" s="22"/>
      <c r="F7" s="23">
        <v>36.07</v>
      </c>
      <c r="G7" s="23">
        <v>34.954228</v>
      </c>
      <c r="H7" s="23">
        <v>1.06</v>
      </c>
      <c r="I7" s="7">
        <v>0.05577199999999971</v>
      </c>
      <c r="J7" s="6">
        <v>6.827666667074702E-06</v>
      </c>
      <c r="L7" s="16"/>
    </row>
    <row r="8" spans="1:12" ht="15">
      <c r="A8" s="3">
        <v>2</v>
      </c>
      <c r="B8" s="4" t="s">
        <v>26</v>
      </c>
      <c r="C8" s="6"/>
      <c r="D8" s="8"/>
      <c r="E8" s="8"/>
      <c r="F8" s="6">
        <v>760.7999999999998</v>
      </c>
      <c r="G8" s="7">
        <v>731.26</v>
      </c>
      <c r="H8" s="7">
        <v>22.380000000000003</v>
      </c>
      <c r="I8" s="7">
        <v>7.159999999999847</v>
      </c>
      <c r="J8" s="6">
        <v>0.0008765347008580305</v>
      </c>
      <c r="L8" s="16"/>
    </row>
    <row r="9" spans="1:12" ht="15">
      <c r="A9" s="3">
        <v>3</v>
      </c>
      <c r="B9" s="4" t="s">
        <v>27</v>
      </c>
      <c r="C9" s="24" t="s">
        <v>42</v>
      </c>
      <c r="D9" s="8"/>
      <c r="E9" s="8"/>
      <c r="F9" s="7">
        <v>779</v>
      </c>
      <c r="G9" s="7">
        <v>1043.1599999999999</v>
      </c>
      <c r="H9" s="7">
        <v>0</v>
      </c>
      <c r="I9" s="7">
        <v>-264.15999999999985</v>
      </c>
      <c r="J9" s="6">
        <v>-0.032338743935567335</v>
      </c>
      <c r="L9" s="16"/>
    </row>
    <row r="10" spans="1:12" ht="15">
      <c r="A10" s="3">
        <v>4</v>
      </c>
      <c r="B10" s="4" t="s">
        <v>29</v>
      </c>
      <c r="C10" s="7"/>
      <c r="D10" s="8"/>
      <c r="E10" s="8"/>
      <c r="F10" s="7">
        <v>1539.7999999999997</v>
      </c>
      <c r="G10" s="7">
        <v>1769.57</v>
      </c>
      <c r="H10" s="7">
        <v>22.380000000000003</v>
      </c>
      <c r="I10" s="7">
        <v>0</v>
      </c>
      <c r="J10" s="6">
        <v>0</v>
      </c>
      <c r="K10" s="17"/>
      <c r="L10" s="16"/>
    </row>
    <row r="11" spans="1:12" ht="15">
      <c r="A11" s="26">
        <v>5</v>
      </c>
      <c r="B11" s="4" t="s">
        <v>15</v>
      </c>
      <c r="C11" s="7"/>
      <c r="D11" s="12">
        <v>23403</v>
      </c>
      <c r="E11" s="12">
        <v>23574</v>
      </c>
      <c r="F11" s="18">
        <v>3420</v>
      </c>
      <c r="G11" s="7">
        <v>0</v>
      </c>
      <c r="H11" s="7">
        <v>0</v>
      </c>
      <c r="I11" s="7">
        <v>3420</v>
      </c>
      <c r="J11" s="6">
        <v>0.4186799828120849</v>
      </c>
      <c r="K11" s="17"/>
      <c r="L11" s="16"/>
    </row>
    <row r="12" spans="1:10" ht="15">
      <c r="A12" s="27"/>
      <c r="B12" s="4" t="s">
        <v>16</v>
      </c>
      <c r="C12" s="7"/>
      <c r="D12" s="12">
        <v>23010</v>
      </c>
      <c r="E12" s="12">
        <v>23126</v>
      </c>
      <c r="F12" s="18">
        <v>2320</v>
      </c>
      <c r="G12" s="7">
        <v>0</v>
      </c>
      <c r="H12" s="7">
        <v>0</v>
      </c>
      <c r="I12" s="7">
        <v>2320</v>
      </c>
      <c r="J12" s="6">
        <v>0.28401683044562487</v>
      </c>
    </row>
    <row r="13" spans="1:10" ht="15">
      <c r="A13" s="27"/>
      <c r="B13" s="4" t="s">
        <v>30</v>
      </c>
      <c r="C13" s="7"/>
      <c r="D13" s="12"/>
      <c r="E13" s="12"/>
      <c r="F13" s="18">
        <v>0</v>
      </c>
      <c r="G13" s="7">
        <v>0</v>
      </c>
      <c r="H13" s="7">
        <v>0</v>
      </c>
      <c r="I13" s="7">
        <v>0</v>
      </c>
      <c r="J13" s="6">
        <v>0</v>
      </c>
    </row>
    <row r="14" spans="1:10" ht="15">
      <c r="A14" s="28"/>
      <c r="B14" s="13" t="s">
        <v>14</v>
      </c>
      <c r="C14" s="13"/>
      <c r="D14" s="14"/>
      <c r="E14" s="13"/>
      <c r="F14" s="15">
        <v>5740</v>
      </c>
      <c r="G14" s="15">
        <v>0</v>
      </c>
      <c r="H14" s="15">
        <v>0</v>
      </c>
      <c r="I14" s="15">
        <v>5740</v>
      </c>
      <c r="J14" s="6">
        <v>0.7026968132577098</v>
      </c>
    </row>
    <row r="15" spans="1:10" ht="15">
      <c r="A15" s="1"/>
      <c r="B15" s="1"/>
      <c r="C15" s="1"/>
      <c r="D15" s="1"/>
      <c r="E15" s="1" t="s">
        <v>31</v>
      </c>
      <c r="F15" s="25">
        <v>3420</v>
      </c>
      <c r="G15" s="25">
        <v>0</v>
      </c>
      <c r="H15" s="25">
        <v>0</v>
      </c>
      <c r="I15" s="7">
        <v>3420</v>
      </c>
      <c r="J15" s="6">
        <v>0.4186799828120849</v>
      </c>
    </row>
    <row r="16" spans="1:10" ht="15">
      <c r="A16" s="1"/>
      <c r="B16" s="1"/>
      <c r="C16" s="1"/>
      <c r="D16" s="1"/>
      <c r="E16" s="1" t="s">
        <v>32</v>
      </c>
      <c r="F16" s="9">
        <v>2320</v>
      </c>
      <c r="G16" s="9">
        <v>0</v>
      </c>
      <c r="H16" s="9">
        <v>0</v>
      </c>
      <c r="I16" s="7">
        <v>2320</v>
      </c>
      <c r="J16" s="6">
        <v>0.28401683044562487</v>
      </c>
    </row>
    <row r="17" spans="1:8" ht="15">
      <c r="A17" s="1"/>
      <c r="B17" s="1"/>
      <c r="C17" s="1"/>
      <c r="D17" s="1"/>
      <c r="E17" s="1"/>
      <c r="F17" s="1"/>
      <c r="G17" s="1"/>
      <c r="H17" s="2"/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</sheetData>
  <sheetProtection/>
  <mergeCells count="11">
    <mergeCell ref="I5:I6"/>
    <mergeCell ref="J5:J6"/>
    <mergeCell ref="A11:A14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2012-11-26T03:35:31Z</cp:lastPrinted>
  <dcterms:created xsi:type="dcterms:W3CDTF">2006-09-16T00:00:00Z</dcterms:created>
  <dcterms:modified xsi:type="dcterms:W3CDTF">2015-01-30T07:59:59Z</dcterms:modified>
  <cp:category/>
  <cp:version/>
  <cp:contentType/>
  <cp:contentStatus/>
</cp:coreProperties>
</file>