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101 (январь)" sheetId="1" r:id="rId1"/>
    <sheet name="101 (февраль)" sheetId="2" r:id="rId2"/>
    <sheet name="101 (март)" sheetId="3" r:id="rId3"/>
    <sheet name="101 (апрель)" sheetId="4" r:id="rId4"/>
    <sheet name="101 (май)" sheetId="5" r:id="rId5"/>
    <sheet name="101 (июнь)" sheetId="6" r:id="rId6"/>
    <sheet name="101 (июль)" sheetId="7" r:id="rId7"/>
    <sheet name="101 (август)" sheetId="8" r:id="rId8"/>
    <sheet name="101 (сентябрь)" sheetId="9" r:id="rId9"/>
    <sheet name="101 (октябрь)" sheetId="10" r:id="rId10"/>
    <sheet name="101 (ноябрь)" sheetId="11" r:id="rId11"/>
    <sheet name="101 (декабрь)" sheetId="12" r:id="rId12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Юридическая консультация.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Юридическая консультация.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Юридическая консультация.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Юридическая консультация.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Юридическая консультация.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нежилые Юридическая консультация.</t>
        </r>
      </text>
    </comment>
  </commentList>
</comments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<sst xmlns="http://schemas.openxmlformats.org/spreadsheetml/2006/main" count="216" uniqueCount="40">
  <si>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</si>
  <si>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</si>
  <si>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</si>
  <si>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</si>
  <si>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</si>
  <si>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Репина 101</t>
  </si>
  <si>
    <t>ГВС (тонн)</t>
  </si>
  <si>
    <t>водоотведение(тонн)</t>
  </si>
  <si>
    <t>итого по эл.эн.</t>
  </si>
  <si>
    <t xml:space="preserve">начисление сторонним потребителям </t>
  </si>
  <si>
    <t xml:space="preserve">начисление по индивидуальным приборам учета и нормативу </t>
  </si>
  <si>
    <t xml:space="preserve">объем потребления 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</si>
  <si>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</si>
  <si>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</si>
  <si>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</si>
  <si>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</si>
  <si>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</si>
  <si>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26104/27358, 252/265</t>
  </si>
  <si>
    <t>Объем коммунальных услуг по показаниям общедомовых приборов учета (ОДН) за февраль в марте 2016г.</t>
  </si>
  <si>
    <t>27358/28719, 265/283</t>
  </si>
  <si>
    <t>Объем коммунальных услуг по показаниям общедомовых приборов учета (ОДН) за март в апреле 2016г.</t>
  </si>
  <si>
    <t>28719/30103, 283/313</t>
  </si>
  <si>
    <t>Объем коммунальных услуг по показаниям общедомовых приборов учета (ОДН) за апрель в мае 2016г.</t>
  </si>
  <si>
    <t>30103/31401, 313/332</t>
  </si>
  <si>
    <t>Объем коммунальных услуг по показаниям общедомовых приборов учета (ОДН) за май в июне 2016г.</t>
  </si>
  <si>
    <t>31401/32757, 332/364</t>
  </si>
  <si>
    <t>Объем коммунальных услуг по показаниям общедомовых приборов учета (ОДН) за июнь в июле 2016г.</t>
  </si>
  <si>
    <t>32757/33905, 364/402</t>
  </si>
  <si>
    <t>Объем коммунальных услуг по показаниям общедомовых приборов учета (ОДН) за июль в августе 2016г.</t>
  </si>
  <si>
    <t>33905/34982, 402/414</t>
  </si>
  <si>
    <t>Объем коммунальных услуг по показаниям общедомовых приборов учета (ОДН) за август в сентябре 2016г.</t>
  </si>
  <si>
    <t>34892/36370, 414/431</t>
  </si>
  <si>
    <t>Объем коммунальных услуг по показаниям общедомовых приборов учета (ОДН) за сентябрь в октябре 2016г.</t>
  </si>
  <si>
    <t>431/443, 36370/37602</t>
  </si>
  <si>
    <t>Объем коммунальных услуг по показаниям общедомовых приборов учета (ОДН) за октябрь в ноябре 2016г.</t>
  </si>
  <si>
    <t>443/458, 37602/38804</t>
  </si>
  <si>
    <t>Объем коммунальных услуг по показаниям общедомовых приборов учета (ОДН) за ноябрь в декабре 2016г.</t>
  </si>
  <si>
    <t>38804/40170, 458/474</t>
  </si>
  <si>
    <t>Объем коммунальных услуг по показаниям общедомовых приборов учета (ОДН) за декабрь в январе 2017г.</t>
  </si>
  <si>
    <t>40170/41262, 474/486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</si>
</sst>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00"/>
    <numFmt numFmtId="180" formatCode="#,##0.000"/>
  </numFmts>
  <fonts count="2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7" sqref="G7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16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112.59</f>
        <v>112.59</v>
      </c>
      <c r="E7" s="13">
        <f>E8*0.0478+0.003</f>
        <v>42.7571312854</v>
      </c>
      <c r="F7" s="13">
        <f>0.1</f>
        <v>0.1</v>
      </c>
      <c r="G7" s="18">
        <f>G8*0.0478+0.0008</f>
        <v>1.82306506</v>
      </c>
      <c r="H7" s="5">
        <f aca="true" t="shared" si="0" ref="H7:H13">G7/10010.9</f>
        <v>0.00018210800827098464</v>
      </c>
      <c r="J7" s="6"/>
    </row>
    <row r="8" spans="1:10" ht="15">
      <c r="A8" s="2">
        <v>2</v>
      </c>
      <c r="B8" s="3" t="s">
        <v>6</v>
      </c>
      <c r="C8" s="5"/>
      <c r="D8" s="5">
        <f>1202.8</f>
        <v>1202.8</v>
      </c>
      <c r="E8" s="18">
        <f>736.2641-209.986207+332.27+35.89</f>
        <v>894.4378929999999</v>
      </c>
      <c r="F8" s="18">
        <f>1.02</f>
        <v>1.02</v>
      </c>
      <c r="G8" s="18">
        <f>38.1225+0.0002</f>
        <v>38.1227</v>
      </c>
      <c r="H8" s="5">
        <f t="shared" si="0"/>
        <v>0.0038081191501263627</v>
      </c>
      <c r="J8" s="6"/>
    </row>
    <row r="9" spans="1:10" ht="15">
      <c r="A9" s="2">
        <v>3</v>
      </c>
      <c r="B9" s="3" t="s">
        <v>12</v>
      </c>
      <c r="C9" s="4" t="s">
        <v>17</v>
      </c>
      <c r="D9" s="4">
        <f>1254+13</f>
        <v>1267</v>
      </c>
      <c r="E9" s="18">
        <f>828.8483-236.813793+580.06+139.85</f>
        <v>1311.9445069999997</v>
      </c>
      <c r="F9" s="18">
        <f>16</f>
        <v>16</v>
      </c>
      <c r="G9" s="18">
        <f>D9-E9-F9+5.2524</f>
        <v>-55.6921069999997</v>
      </c>
      <c r="H9" s="5">
        <f t="shared" si="0"/>
        <v>-0.0055631468699117665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2469.8</v>
      </c>
      <c r="E10" s="18">
        <f>1002.4821+797.35+181.71+140.63+12.38+65.43+6.4</f>
        <v>2206.3821000000003</v>
      </c>
      <c r="F10" s="18">
        <f>F8+F9</f>
        <v>17.02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26589</f>
        <v>26589</v>
      </c>
      <c r="E11" s="18">
        <f>18738</f>
        <v>18738</v>
      </c>
      <c r="F11" s="18">
        <f>1338</f>
        <v>1338</v>
      </c>
      <c r="G11" s="18">
        <f>D11-E11-F11-0.0004</f>
        <v>6512.9996</v>
      </c>
      <c r="H11" s="5">
        <f t="shared" si="0"/>
        <v>0.6505908160105486</v>
      </c>
    </row>
    <row r="12" spans="1:8" ht="15">
      <c r="A12" s="27"/>
      <c r="B12" s="17" t="s">
        <v>15</v>
      </c>
      <c r="C12" s="4"/>
      <c r="D12" s="5">
        <f>36974</f>
        <v>36974</v>
      </c>
      <c r="E12" s="18">
        <f>15516.1</f>
        <v>15516.1</v>
      </c>
      <c r="F12" s="18">
        <f>1189</f>
        <v>1189</v>
      </c>
      <c r="G12" s="18">
        <f>1774.5+0.0005</f>
        <v>1774.5005</v>
      </c>
      <c r="H12" s="5">
        <f t="shared" si="0"/>
        <v>0.17725684004435166</v>
      </c>
    </row>
    <row r="13" spans="1:8" ht="15">
      <c r="A13" s="28"/>
      <c r="B13" s="14" t="s">
        <v>8</v>
      </c>
      <c r="C13" s="14"/>
      <c r="D13" s="15">
        <f>SUM(D11:D12)</f>
        <v>63563</v>
      </c>
      <c r="E13" s="19">
        <f>SUM(E11:E12)</f>
        <v>34254.1</v>
      </c>
      <c r="F13" s="19">
        <f>SUM(F11:F12)</f>
        <v>2527</v>
      </c>
      <c r="G13" s="19">
        <f>SUM(G11:G12)</f>
        <v>8287.500100000001</v>
      </c>
      <c r="H13" s="5">
        <f t="shared" si="0"/>
        <v>0.8278476560549003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9" sqref="D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34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.75">
      <c r="A7" s="11">
        <v>1</v>
      </c>
      <c r="B7" s="12" t="s">
        <v>13</v>
      </c>
      <c r="C7" s="21"/>
      <c r="D7" s="22">
        <v>80.52</v>
      </c>
      <c r="E7" s="22">
        <f>43.3981+32.667-12.399434-0.0002</f>
        <v>63.665466</v>
      </c>
      <c r="F7" s="23">
        <v>0.07</v>
      </c>
      <c r="G7" s="4">
        <f>G8*0.0773-0.0002</f>
        <v>2.94666925</v>
      </c>
      <c r="H7" s="5">
        <f>G7/10009.5</f>
        <v>0.0002943872571057495</v>
      </c>
      <c r="J7" s="6"/>
    </row>
    <row r="8" spans="1:10" ht="15">
      <c r="A8" s="2">
        <v>2</v>
      </c>
      <c r="B8" s="3" t="s">
        <v>6</v>
      </c>
      <c r="C8" s="5"/>
      <c r="D8" s="24">
        <v>1029.9</v>
      </c>
      <c r="E8" s="25">
        <f>561+422.6-160</f>
        <v>823.6</v>
      </c>
      <c r="F8" s="18">
        <v>0.86</v>
      </c>
      <c r="G8" s="4">
        <f>38.1225</f>
        <v>38.1225</v>
      </c>
      <c r="H8" s="5">
        <f aca="true" t="shared" si="0" ref="H8:H13">G8/10009.5</f>
        <v>0.0038086317997901996</v>
      </c>
      <c r="J8" s="6"/>
    </row>
    <row r="9" spans="1:10" ht="15">
      <c r="A9" s="2">
        <v>3</v>
      </c>
      <c r="B9" s="3" t="s">
        <v>12</v>
      </c>
      <c r="C9" s="4" t="s">
        <v>35</v>
      </c>
      <c r="D9" s="15">
        <v>1217</v>
      </c>
      <c r="E9" s="15">
        <f>733.32+603.27-209.52</f>
        <v>1127.0700000000002</v>
      </c>
      <c r="F9" s="18">
        <v>15</v>
      </c>
      <c r="G9" s="4">
        <f>D9-E9-F9-36.8075</f>
        <v>38.12249999999984</v>
      </c>
      <c r="H9" s="5">
        <f t="shared" si="0"/>
        <v>0.003808631799790183</v>
      </c>
      <c r="J9" s="6"/>
    </row>
    <row r="10" spans="1:8" ht="15">
      <c r="A10" s="2">
        <v>4</v>
      </c>
      <c r="B10" s="3" t="s">
        <v>7</v>
      </c>
      <c r="C10" s="4"/>
      <c r="D10" s="15">
        <f>D8+D9</f>
        <v>2246.9</v>
      </c>
      <c r="E10" s="4">
        <f>1215.2+987.91+22.42+94.66-369.52</f>
        <v>1950.67</v>
      </c>
      <c r="F10" s="18">
        <f>F8+F9</f>
        <v>15.86</v>
      </c>
      <c r="G10" s="4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23994+657</f>
        <v>24651</v>
      </c>
      <c r="E11" s="4">
        <f>17714-3246-248</f>
        <v>14220</v>
      </c>
      <c r="F11" s="4">
        <v>877</v>
      </c>
      <c r="G11" s="4">
        <f>D11-E11-F11-1266.4982</f>
        <v>8287.5018</v>
      </c>
      <c r="H11" s="5">
        <f t="shared" si="0"/>
        <v>0.8279636145661622</v>
      </c>
    </row>
    <row r="12" spans="1:8" ht="15">
      <c r="A12" s="27"/>
      <c r="B12" s="17" t="s">
        <v>15</v>
      </c>
      <c r="C12" s="4"/>
      <c r="D12" s="5">
        <v>20231</v>
      </c>
      <c r="E12" s="4">
        <f>13981</f>
        <v>13981</v>
      </c>
      <c r="F12" s="4">
        <v>331</v>
      </c>
      <c r="G12" s="4">
        <f>D12-E12-F12-5919</f>
        <v>0</v>
      </c>
      <c r="H12" s="5">
        <f t="shared" si="0"/>
        <v>0</v>
      </c>
    </row>
    <row r="13" spans="1:8" ht="15">
      <c r="A13" s="28"/>
      <c r="B13" s="14" t="s">
        <v>8</v>
      </c>
      <c r="C13" s="14"/>
      <c r="D13" s="15">
        <f>SUM(D11:D12)</f>
        <v>44882</v>
      </c>
      <c r="E13" s="15">
        <f>SUM(E11:E12)</f>
        <v>28201</v>
      </c>
      <c r="F13" s="15">
        <f>SUM(F11:F12)</f>
        <v>1208</v>
      </c>
      <c r="G13" s="15">
        <f>SUM(G11:G12)</f>
        <v>8287.5018</v>
      </c>
      <c r="H13" s="5">
        <f t="shared" si="0"/>
        <v>0.8279636145661622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36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.75">
      <c r="A7" s="11">
        <v>1</v>
      </c>
      <c r="B7" s="12" t="s">
        <v>13</v>
      </c>
      <c r="C7" s="21"/>
      <c r="D7" s="22">
        <f>86.03</f>
        <v>86.03</v>
      </c>
      <c r="E7" s="22">
        <f>47.1414-13.468951+48.1591-0.0002</f>
        <v>81.83134899999999</v>
      </c>
      <c r="F7" s="23">
        <f>0.07</f>
        <v>0.07</v>
      </c>
      <c r="G7" s="4">
        <f>38.1225*0.0857</f>
        <v>3.26709825</v>
      </c>
      <c r="H7" s="5">
        <f aca="true" t="shared" si="0" ref="H7:H13">G7/10009.1</f>
        <v>0.0003264127893616809</v>
      </c>
      <c r="J7" s="6"/>
    </row>
    <row r="8" spans="1:10" ht="15">
      <c r="A8" s="2">
        <v>2</v>
      </c>
      <c r="B8" s="3" t="s">
        <v>6</v>
      </c>
      <c r="C8" s="5"/>
      <c r="D8" s="24">
        <f>1047.2</f>
        <v>1047.2</v>
      </c>
      <c r="E8" s="25">
        <f>549.78-156.8+561.95</f>
        <v>954.9300000000001</v>
      </c>
      <c r="F8" s="18">
        <f>0.86</f>
        <v>0.86</v>
      </c>
      <c r="G8" s="4">
        <f>38.1225+0.0001</f>
        <v>38.122600000000006</v>
      </c>
      <c r="H8" s="5">
        <f t="shared" si="0"/>
        <v>0.00380879399746231</v>
      </c>
      <c r="J8" s="6"/>
    </row>
    <row r="9" spans="1:10" ht="15">
      <c r="A9" s="2">
        <v>3</v>
      </c>
      <c r="B9" s="3" t="s">
        <v>12</v>
      </c>
      <c r="C9" s="4" t="s">
        <v>37</v>
      </c>
      <c r="D9" s="15">
        <f>1366+16</f>
        <v>1382</v>
      </c>
      <c r="E9" s="15">
        <f>719.74-205.64+818.57</f>
        <v>1332.67</v>
      </c>
      <c r="F9" s="18">
        <f>16</f>
        <v>16</v>
      </c>
      <c r="G9" s="4">
        <f>D9-E9-F9+0.0008</f>
        <v>33.330799999999925</v>
      </c>
      <c r="H9" s="5">
        <f t="shared" si="0"/>
        <v>0.0033300496548141116</v>
      </c>
      <c r="J9" s="6"/>
    </row>
    <row r="10" spans="1:8" ht="15">
      <c r="A10" s="2">
        <v>4</v>
      </c>
      <c r="B10" s="3" t="s">
        <v>7</v>
      </c>
      <c r="C10" s="4"/>
      <c r="D10" s="15">
        <f>D8+D9</f>
        <v>2429.2</v>
      </c>
      <c r="E10" s="4">
        <f>1190.4-339.84+1358.81+20.65-3.2+80.18-19.4</f>
        <v>2287.6</v>
      </c>
      <c r="F10" s="18">
        <f>F8+F9</f>
        <v>16.86</v>
      </c>
      <c r="G10" s="4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23440+710</f>
        <v>24150</v>
      </c>
      <c r="E11" s="4">
        <f>45235-2600-248</f>
        <v>42387</v>
      </c>
      <c r="F11" s="4">
        <f>710+390</f>
        <v>1100</v>
      </c>
      <c r="G11" s="4">
        <f>D11-E11-F11+4382.8345</f>
        <v>-14954.1655</v>
      </c>
      <c r="H11" s="5">
        <f t="shared" si="0"/>
        <v>-1.494056958168067</v>
      </c>
    </row>
    <row r="12" spans="1:8" ht="15">
      <c r="A12" s="27"/>
      <c r="B12" s="17" t="s">
        <v>15</v>
      </c>
      <c r="C12" s="4"/>
      <c r="D12" s="5">
        <v>25737</v>
      </c>
      <c r="E12" s="4">
        <f>18174</f>
        <v>18174</v>
      </c>
      <c r="F12" s="4">
        <f>627</f>
        <v>627</v>
      </c>
      <c r="G12" s="4">
        <f>D12-E12-F12-3434.3557</f>
        <v>3501.6443</v>
      </c>
      <c r="H12" s="5">
        <f t="shared" si="0"/>
        <v>0.3498460700762306</v>
      </c>
    </row>
    <row r="13" spans="1:8" ht="15">
      <c r="A13" s="28"/>
      <c r="B13" s="14" t="s">
        <v>8</v>
      </c>
      <c r="C13" s="14"/>
      <c r="D13" s="15">
        <f>SUM(D11:D12)</f>
        <v>49887</v>
      </c>
      <c r="E13" s="15">
        <f>SUM(E11:E12)</f>
        <v>60561</v>
      </c>
      <c r="F13" s="15">
        <f>SUM(F11:F12)</f>
        <v>1727</v>
      </c>
      <c r="G13" s="15">
        <f>SUM(G11:G12)</f>
        <v>-11452.5212</v>
      </c>
      <c r="H13" s="5">
        <f t="shared" si="0"/>
        <v>-1.1442108880918362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16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38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.75">
      <c r="A7" s="11">
        <v>1</v>
      </c>
      <c r="B7" s="12" t="s">
        <v>13</v>
      </c>
      <c r="C7" s="21"/>
      <c r="D7" s="22">
        <f>94.44</f>
        <v>94.44</v>
      </c>
      <c r="E7" s="22">
        <f>55.572+52.1163-18.524311-0.0001</f>
        <v>89.163889</v>
      </c>
      <c r="F7" s="23">
        <v>0.08</v>
      </c>
      <c r="G7" s="18">
        <f>38.1225*0.0952-0.0006</f>
        <v>3.6286620000000007</v>
      </c>
      <c r="H7" s="5">
        <f aca="true" t="shared" si="0" ref="H7:H13">G7/10009.1</f>
        <v>0.00036253629197430346</v>
      </c>
      <c r="J7" s="6"/>
    </row>
    <row r="8" spans="1:10" ht="15">
      <c r="A8" s="2">
        <v>2</v>
      </c>
      <c r="B8" s="3" t="s">
        <v>6</v>
      </c>
      <c r="C8" s="5"/>
      <c r="D8" s="24">
        <f>1034.2</f>
        <v>1034.2</v>
      </c>
      <c r="E8" s="25">
        <f>582.97+547.44-194</f>
        <v>936.4100000000001</v>
      </c>
      <c r="F8" s="18">
        <f>0.85</f>
        <v>0.85</v>
      </c>
      <c r="G8" s="4">
        <f>38.1225+0.0001</f>
        <v>38.122600000000006</v>
      </c>
      <c r="H8" s="5">
        <f t="shared" si="0"/>
        <v>0.00380879399746231</v>
      </c>
      <c r="J8" s="6"/>
    </row>
    <row r="9" spans="1:10" ht="15">
      <c r="A9" s="2">
        <v>3</v>
      </c>
      <c r="B9" s="3" t="s">
        <v>12</v>
      </c>
      <c r="C9" s="4" t="s">
        <v>39</v>
      </c>
      <c r="D9" s="15">
        <f>1092+12</f>
        <v>1104</v>
      </c>
      <c r="E9" s="15">
        <f>763.35+638.01-254.1</f>
        <v>1147.2600000000002</v>
      </c>
      <c r="F9" s="4">
        <f>14</f>
        <v>14</v>
      </c>
      <c r="G9" s="4">
        <f>D9-E9-F9+4.34</f>
        <v>-52.920000000000215</v>
      </c>
      <c r="H9" s="5">
        <f t="shared" si="0"/>
        <v>-0.005287188658320949</v>
      </c>
      <c r="J9" s="6"/>
    </row>
    <row r="10" spans="1:8" ht="15">
      <c r="A10" s="2">
        <v>4</v>
      </c>
      <c r="B10" s="3" t="s">
        <v>7</v>
      </c>
      <c r="C10" s="4"/>
      <c r="D10" s="15">
        <f>D8+D9</f>
        <v>2138.2</v>
      </c>
      <c r="E10" s="4">
        <f>1261.6+1154.28+19.59+96.3-419.9-4-24.2</f>
        <v>2083.6700000000005</v>
      </c>
      <c r="F10" s="18">
        <f>F8+F9</f>
        <v>14.85</v>
      </c>
      <c r="G10" s="4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20667+559</f>
        <v>21226</v>
      </c>
      <c r="E11" s="4">
        <f>29857-9398-311</f>
        <v>20148</v>
      </c>
      <c r="F11" s="4">
        <f>559+410</f>
        <v>969</v>
      </c>
      <c r="G11" s="4">
        <f>D11-E11-F11-0.0001</f>
        <v>108.9999</v>
      </c>
      <c r="H11" s="5">
        <f t="shared" si="0"/>
        <v>0.01089008002717527</v>
      </c>
    </row>
    <row r="12" spans="1:8" ht="15">
      <c r="A12" s="27"/>
      <c r="B12" s="17" t="s">
        <v>15</v>
      </c>
      <c r="C12" s="4"/>
      <c r="D12" s="5">
        <f>17263</f>
        <v>17263</v>
      </c>
      <c r="E12" s="4">
        <f>14557</f>
        <v>14557</v>
      </c>
      <c r="F12" s="4">
        <f>489</f>
        <v>489</v>
      </c>
      <c r="G12" s="4">
        <f>D12-E12-F12-0.0013</f>
        <v>2216.9987</v>
      </c>
      <c r="H12" s="5">
        <f>G12/10009.1</f>
        <v>0.22149830654104766</v>
      </c>
    </row>
    <row r="13" spans="1:8" ht="15">
      <c r="A13" s="28"/>
      <c r="B13" s="14" t="s">
        <v>8</v>
      </c>
      <c r="C13" s="14"/>
      <c r="D13" s="15">
        <f>SUM(D11:D12)</f>
        <v>38489</v>
      </c>
      <c r="E13" s="15">
        <f>SUM(E11:E12)</f>
        <v>34705</v>
      </c>
      <c r="F13" s="15">
        <f>SUM(F11:F12)</f>
        <v>1458</v>
      </c>
      <c r="G13" s="15">
        <f>SUM(G11:G12)</f>
        <v>2325.9986</v>
      </c>
      <c r="H13" s="5">
        <f t="shared" si="0"/>
        <v>0.2323883865682229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2" sqref="C12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18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95.8</f>
        <v>95.8</v>
      </c>
      <c r="E7" s="13">
        <f>E8*0.0478+0.0026</f>
        <v>39.88692000000001</v>
      </c>
      <c r="F7" s="13">
        <f>0.08</f>
        <v>0.08</v>
      </c>
      <c r="G7" s="18">
        <f>G8*0.0478+0.0007</f>
        <v>1.8229555000000002</v>
      </c>
      <c r="H7" s="5">
        <f>G7/10009.5</f>
        <v>0.00018212253359308657</v>
      </c>
      <c r="J7" s="6"/>
    </row>
    <row r="8" spans="1:10" ht="15">
      <c r="A8" s="2">
        <v>2</v>
      </c>
      <c r="B8" s="3" t="s">
        <v>6</v>
      </c>
      <c r="C8" s="5"/>
      <c r="D8" s="5">
        <f>1074.6</f>
        <v>1074.6</v>
      </c>
      <c r="E8" s="18">
        <f>695.64-198.4+312.91+24.25</f>
        <v>834.4000000000001</v>
      </c>
      <c r="F8" s="18">
        <f>0.91</f>
        <v>0.91</v>
      </c>
      <c r="G8" s="18">
        <f>38.1225</f>
        <v>38.1225</v>
      </c>
      <c r="H8" s="5">
        <f aca="true" t="shared" si="0" ref="H8:H13">G8/10009.5</f>
        <v>0.0038086317997901996</v>
      </c>
      <c r="J8" s="6"/>
    </row>
    <row r="9" spans="1:10" ht="15">
      <c r="A9" s="2">
        <v>3</v>
      </c>
      <c r="B9" s="3" t="s">
        <v>12</v>
      </c>
      <c r="C9" s="4" t="s">
        <v>19</v>
      </c>
      <c r="D9" s="4">
        <f>1361+18</f>
        <v>1379</v>
      </c>
      <c r="E9" s="18">
        <f>794.43-226.98+528.86+81.91</f>
        <v>1178.22</v>
      </c>
      <c r="F9" s="18">
        <f>18</f>
        <v>18</v>
      </c>
      <c r="G9" s="18">
        <f>38.1225</f>
        <v>38.1225</v>
      </c>
      <c r="H9" s="5">
        <f t="shared" si="0"/>
        <v>0.0038086317997901996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2453.6</v>
      </c>
      <c r="E10" s="18">
        <f>956.88+742.09+84.09+105.96+50.27+66.93+6.4</f>
        <v>2012.6200000000001</v>
      </c>
      <c r="F10" s="18">
        <f>F8+F9</f>
        <v>18.91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25600</f>
        <v>25600</v>
      </c>
      <c r="E11" s="18">
        <f>22924-480</f>
        <v>22444</v>
      </c>
      <c r="F11" s="18">
        <f>1292</f>
        <v>1292</v>
      </c>
      <c r="G11" s="18">
        <f>D11-E11-F11+0.0001</f>
        <v>1864.0001</v>
      </c>
      <c r="H11" s="5">
        <f t="shared" si="0"/>
        <v>0.186223098056846</v>
      </c>
    </row>
    <row r="12" spans="1:8" ht="15">
      <c r="A12" s="27"/>
      <c r="B12" s="17" t="s">
        <v>15</v>
      </c>
      <c r="C12" s="4"/>
      <c r="D12" s="5">
        <f>21109</f>
        <v>21109</v>
      </c>
      <c r="E12" s="18">
        <f>14984</f>
        <v>14984</v>
      </c>
      <c r="F12" s="18">
        <f>718</f>
        <v>718</v>
      </c>
      <c r="G12" s="18">
        <f>D12-E12-F12-0.0006</f>
        <v>5406.9994</v>
      </c>
      <c r="H12" s="5">
        <f t="shared" si="0"/>
        <v>0.5401867625755532</v>
      </c>
    </row>
    <row r="13" spans="1:8" ht="15">
      <c r="A13" s="28"/>
      <c r="B13" s="14" t="s">
        <v>8</v>
      </c>
      <c r="C13" s="14"/>
      <c r="D13" s="15">
        <f>SUM(D11:D12)</f>
        <v>46709</v>
      </c>
      <c r="E13" s="19">
        <f>SUM(E11:E12)</f>
        <v>37428</v>
      </c>
      <c r="F13" s="19">
        <f>SUM(F11:F12)</f>
        <v>2010</v>
      </c>
      <c r="G13" s="19">
        <f>SUM(G11:G12)</f>
        <v>7270.9995</v>
      </c>
      <c r="H13" s="5">
        <f t="shared" si="0"/>
        <v>0.7264098606323992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20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103.86</f>
        <v>103.86</v>
      </c>
      <c r="E7" s="13">
        <f>E8*0.0478+0.0031</f>
        <v>43.30751000000001</v>
      </c>
      <c r="F7" s="13">
        <f>0.09</f>
        <v>0.09</v>
      </c>
      <c r="G7" s="18">
        <f>38.1225*0.0478+0.0007</f>
        <v>1.8229555000000002</v>
      </c>
      <c r="H7" s="5">
        <f aca="true" t="shared" si="0" ref="H7:H13">G7/10009.5</f>
        <v>0.00018212253359308657</v>
      </c>
      <c r="J7" s="6"/>
    </row>
    <row r="8" spans="1:10" ht="15">
      <c r="A8" s="2">
        <v>2</v>
      </c>
      <c r="B8" s="3" t="s">
        <v>6</v>
      </c>
      <c r="C8" s="5"/>
      <c r="D8" s="5">
        <f>1040.6</f>
        <v>1040.6</v>
      </c>
      <c r="E8" s="18">
        <f>712.47-203.2+379.71+16.97</f>
        <v>905.95</v>
      </c>
      <c r="F8" s="18">
        <f>0.88</f>
        <v>0.88</v>
      </c>
      <c r="G8" s="18">
        <f>38.1225</f>
        <v>38.1225</v>
      </c>
      <c r="H8" s="5">
        <f t="shared" si="0"/>
        <v>0.0038086317997901996</v>
      </c>
      <c r="J8" s="6"/>
    </row>
    <row r="9" spans="1:10" ht="15">
      <c r="A9" s="2">
        <v>3</v>
      </c>
      <c r="B9" s="3" t="s">
        <v>12</v>
      </c>
      <c r="C9" s="4" t="s">
        <v>21</v>
      </c>
      <c r="D9" s="4">
        <f>1384+30</f>
        <v>1414</v>
      </c>
      <c r="E9" s="18">
        <f>814.8-232.8+616.63+31.28</f>
        <v>1229.91</v>
      </c>
      <c r="F9" s="18">
        <f>29</f>
        <v>29</v>
      </c>
      <c r="G9" s="18">
        <f>38.1225</f>
        <v>38.1225</v>
      </c>
      <c r="H9" s="5">
        <f t="shared" si="0"/>
        <v>0.0038086317997901996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2454.6</v>
      </c>
      <c r="E10" s="18">
        <f>974.6+896.74+60.2+116.36+10.79+70.77+6.4</f>
        <v>2135.86</v>
      </c>
      <c r="F10" s="18">
        <f>F8+F9</f>
        <v>29.88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20784</f>
        <v>20784</v>
      </c>
      <c r="E11" s="18">
        <f>19219</f>
        <v>19219</v>
      </c>
      <c r="F11" s="18">
        <f>1054</f>
        <v>1054</v>
      </c>
      <c r="G11" s="18">
        <f>D11-E11-F11-0.0006</f>
        <v>510.9994</v>
      </c>
      <c r="H11" s="5">
        <f t="shared" si="0"/>
        <v>0.05105144113092562</v>
      </c>
    </row>
    <row r="12" spans="1:8" ht="15">
      <c r="A12" s="27"/>
      <c r="B12" s="17" t="s">
        <v>15</v>
      </c>
      <c r="C12" s="4"/>
      <c r="D12" s="5">
        <f>22947</f>
        <v>22947</v>
      </c>
      <c r="E12" s="18">
        <f>10784</f>
        <v>10784</v>
      </c>
      <c r="F12" s="18">
        <f>596</f>
        <v>596</v>
      </c>
      <c r="G12" s="18">
        <f>7776.5+0.0009</f>
        <v>7776.5009</v>
      </c>
      <c r="H12" s="5">
        <f t="shared" si="0"/>
        <v>0.7769120235776013</v>
      </c>
    </row>
    <row r="13" spans="1:8" ht="15">
      <c r="A13" s="28"/>
      <c r="B13" s="14" t="s">
        <v>8</v>
      </c>
      <c r="C13" s="14"/>
      <c r="D13" s="15">
        <f>SUM(D11:D12)</f>
        <v>43731</v>
      </c>
      <c r="E13" s="19">
        <f>SUM(E11:E12)</f>
        <v>30003</v>
      </c>
      <c r="F13" s="19">
        <f>SUM(F11:F12)</f>
        <v>1650</v>
      </c>
      <c r="G13" s="19">
        <f>SUM(G11:G12)</f>
        <v>8287.5003</v>
      </c>
      <c r="H13" s="5">
        <f t="shared" si="0"/>
        <v>0.8279634647085269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22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89.8</f>
        <v>89.8</v>
      </c>
      <c r="E7" s="13">
        <f>E8*0.0478+0.002636</f>
        <v>43.29128662680001</v>
      </c>
      <c r="F7" s="13">
        <f>0.08</f>
        <v>0.08</v>
      </c>
      <c r="G7" s="18">
        <f>G8*0.0478+0.0007</f>
        <v>1.8229555000000002</v>
      </c>
      <c r="H7" s="5">
        <f aca="true" t="shared" si="0" ref="H7:H13">G7/10009.5</f>
        <v>0.00018212253359308657</v>
      </c>
      <c r="J7" s="6"/>
    </row>
    <row r="8" spans="1:10" ht="15">
      <c r="A8" s="2">
        <v>2</v>
      </c>
      <c r="B8" s="3" t="s">
        <v>6</v>
      </c>
      <c r="C8" s="5"/>
      <c r="D8" s="5">
        <f>1066.1</f>
        <v>1066.1</v>
      </c>
      <c r="E8" s="18">
        <f>675.9145-192.774194+387.42+35.06</f>
        <v>905.620306</v>
      </c>
      <c r="F8" s="18">
        <f>0.9</f>
        <v>0.9</v>
      </c>
      <c r="G8" s="18">
        <f>38.1225</f>
        <v>38.1225</v>
      </c>
      <c r="H8" s="5">
        <f t="shared" si="0"/>
        <v>0.0038086317997901996</v>
      </c>
      <c r="J8" s="6"/>
    </row>
    <row r="9" spans="1:10" ht="15">
      <c r="A9" s="2">
        <v>3</v>
      </c>
      <c r="B9" s="3" t="s">
        <v>12</v>
      </c>
      <c r="C9" s="4" t="s">
        <v>23</v>
      </c>
      <c r="D9" s="4">
        <f>1298+19</f>
        <v>1317</v>
      </c>
      <c r="E9" s="18">
        <f>805.1626-230.046452+676.52+122.93</f>
        <v>1374.566148</v>
      </c>
      <c r="F9" s="18">
        <f>20</f>
        <v>20</v>
      </c>
      <c r="G9" s="18">
        <f>D9-E9-F9+2.3015</f>
        <v>-75.26464800000011</v>
      </c>
      <c r="H9" s="5">
        <f t="shared" si="0"/>
        <v>-0.007519321444627615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2383.1</v>
      </c>
      <c r="E10" s="18">
        <f>962.0245+949.17+180.22+98.6719+12.09+71.61+6.4</f>
        <v>2280.1864</v>
      </c>
      <c r="F10" s="18">
        <f>F8+F9</f>
        <v>20.9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24193+673</f>
        <v>24866</v>
      </c>
      <c r="E11" s="18">
        <f>16238</f>
        <v>16238</v>
      </c>
      <c r="F11" s="18">
        <f>937</f>
        <v>937</v>
      </c>
      <c r="G11" s="18">
        <f>D11-E11-F11+0.0001</f>
        <v>7691.0001</v>
      </c>
      <c r="H11" s="5">
        <f t="shared" si="0"/>
        <v>0.7683700584444778</v>
      </c>
    </row>
    <row r="12" spans="1:8" ht="15">
      <c r="A12" s="27"/>
      <c r="B12" s="17" t="s">
        <v>15</v>
      </c>
      <c r="C12" s="4"/>
      <c r="D12" s="5">
        <f>22047</f>
        <v>22047</v>
      </c>
      <c r="E12" s="18">
        <f>12650.7</f>
        <v>12650.7</v>
      </c>
      <c r="F12" s="18">
        <f>417</f>
        <v>417</v>
      </c>
      <c r="G12" s="18">
        <f>D12-E12-F12-8382.8+0.0001</f>
        <v>596.5001</v>
      </c>
      <c r="H12" s="5">
        <f t="shared" si="0"/>
        <v>0.059593396273540135</v>
      </c>
    </row>
    <row r="13" spans="1:8" ht="15">
      <c r="A13" s="28"/>
      <c r="B13" s="14" t="s">
        <v>8</v>
      </c>
      <c r="C13" s="14"/>
      <c r="D13" s="15">
        <f>SUM(D11:D12)</f>
        <v>46913</v>
      </c>
      <c r="E13" s="19">
        <f>SUM(E11:E12)</f>
        <v>28888.7</v>
      </c>
      <c r="F13" s="19">
        <f>SUM(F11:F12)</f>
        <v>1354</v>
      </c>
      <c r="G13" s="19">
        <f>SUM(G11:G12)</f>
        <v>8287.5002</v>
      </c>
      <c r="H13" s="5">
        <f t="shared" si="0"/>
        <v>0.8279634547180179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3" sqref="D1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24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71.24</f>
        <v>71.24</v>
      </c>
      <c r="E7" s="13">
        <f>36.4902-10.425735+22.788+1.0825+0.0009</f>
        <v>49.93586500000001</v>
      </c>
      <c r="F7" s="13">
        <f>0.05</f>
        <v>0.05</v>
      </c>
      <c r="G7" s="18">
        <f>G8*0.0577</f>
        <v>2.19966825</v>
      </c>
      <c r="H7" s="5">
        <f aca="true" t="shared" si="0" ref="H7:H13">G7/10009.5</f>
        <v>0.00021975805484789453</v>
      </c>
      <c r="J7" s="6"/>
    </row>
    <row r="8" spans="1:10" ht="15">
      <c r="A8" s="2">
        <v>2</v>
      </c>
      <c r="B8" s="3" t="s">
        <v>6</v>
      </c>
      <c r="C8" s="5"/>
      <c r="D8" s="5">
        <f>1087.3</f>
        <v>1087.3</v>
      </c>
      <c r="E8" s="18">
        <f>631.499-180.106667+394.94+18.76</f>
        <v>865.092333</v>
      </c>
      <c r="F8" s="18">
        <f>0.91</f>
        <v>0.91</v>
      </c>
      <c r="G8" s="18">
        <f>38.1225</f>
        <v>38.1225</v>
      </c>
      <c r="H8" s="5">
        <f t="shared" si="0"/>
        <v>0.0038086317997901996</v>
      </c>
      <c r="J8" s="6"/>
    </row>
    <row r="9" spans="1:10" ht="15">
      <c r="A9" s="2">
        <v>3</v>
      </c>
      <c r="B9" s="3" t="s">
        <v>12</v>
      </c>
      <c r="C9" s="4" t="s">
        <v>25</v>
      </c>
      <c r="D9" s="4">
        <f>1356+32</f>
        <v>1388</v>
      </c>
      <c r="E9" s="18">
        <f>779.9447-222.841333+585.02+98.41-0.0001</f>
        <v>1240.5332670000003</v>
      </c>
      <c r="F9" s="18">
        <f>27</f>
        <v>27</v>
      </c>
      <c r="G9" s="18">
        <f>38.1225</f>
        <v>38.1225</v>
      </c>
      <c r="H9" s="5">
        <f t="shared" si="0"/>
        <v>0.0038086317997901996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2475.3</v>
      </c>
      <c r="E10" s="18">
        <f>929.1186+888.91+130.94+65.797+13.93+70.53+6.4</f>
        <v>2105.6256000000003</v>
      </c>
      <c r="F10" s="18">
        <f>F8+F9</f>
        <v>27.91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18979+650</f>
        <v>19629</v>
      </c>
      <c r="E11" s="18">
        <f>15775</f>
        <v>15775</v>
      </c>
      <c r="F11" s="18">
        <f>737</f>
        <v>737</v>
      </c>
      <c r="G11" s="18">
        <f>D11-E11-F11-0.0002</f>
        <v>3116.9998</v>
      </c>
      <c r="H11" s="5">
        <f t="shared" si="0"/>
        <v>0.31140414606124184</v>
      </c>
    </row>
    <row r="12" spans="1:8" ht="15">
      <c r="A12" s="27"/>
      <c r="B12" s="17" t="s">
        <v>15</v>
      </c>
      <c r="C12" s="4"/>
      <c r="D12" s="5">
        <f>18143</f>
        <v>18143</v>
      </c>
      <c r="E12" s="18">
        <f>11465.3</f>
        <v>11465.3</v>
      </c>
      <c r="F12" s="18">
        <v>262</v>
      </c>
      <c r="G12" s="18">
        <f>5170.5-0.0004</f>
        <v>5170.4996</v>
      </c>
      <c r="H12" s="5">
        <f t="shared" si="0"/>
        <v>0.516559228732704</v>
      </c>
    </row>
    <row r="13" spans="1:8" ht="15">
      <c r="A13" s="28"/>
      <c r="B13" s="14" t="s">
        <v>8</v>
      </c>
      <c r="C13" s="14"/>
      <c r="D13" s="15">
        <f>SUM(D11:D12)</f>
        <v>37772</v>
      </c>
      <c r="E13" s="19">
        <f>SUM(E11:E12)</f>
        <v>27240.3</v>
      </c>
      <c r="F13" s="19">
        <f>SUM(F11:F12)</f>
        <v>999</v>
      </c>
      <c r="G13" s="19">
        <f>SUM(G11:G12)</f>
        <v>8287.4994</v>
      </c>
      <c r="H13" s="5">
        <f t="shared" si="0"/>
        <v>0.8279633747939458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1" sqref="D11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26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63.58</f>
        <v>63.58</v>
      </c>
      <c r="E7" s="13">
        <f>30.4811-10.160334+23.3097+0.3159-0.0007</f>
        <v>43.945665999999996</v>
      </c>
      <c r="F7" s="13">
        <f>0.05</f>
        <v>0.05</v>
      </c>
      <c r="G7" s="18">
        <f>G8*0.0478+0.0007</f>
        <v>1.8229555000000002</v>
      </c>
      <c r="H7" s="5">
        <f aca="true" t="shared" si="0" ref="H7:H13">G7/10009.5</f>
        <v>0.00018212253359308657</v>
      </c>
      <c r="J7" s="6"/>
    </row>
    <row r="8" spans="1:10" ht="15">
      <c r="A8" s="2">
        <v>2</v>
      </c>
      <c r="B8" s="3" t="s">
        <v>6</v>
      </c>
      <c r="C8" s="5"/>
      <c r="D8" s="5">
        <f>1330.16</f>
        <v>1330.16</v>
      </c>
      <c r="E8" s="18">
        <f>637.06-212+487.65+6.61</f>
        <v>919.3199999999999</v>
      </c>
      <c r="F8" s="18">
        <f>1.08</f>
        <v>1.08</v>
      </c>
      <c r="G8" s="18">
        <f>38.1225</f>
        <v>38.1225</v>
      </c>
      <c r="H8" s="5">
        <f t="shared" si="0"/>
        <v>0.0038086317997901996</v>
      </c>
      <c r="J8" s="6"/>
    </row>
    <row r="9" spans="1:10" ht="15">
      <c r="A9" s="2">
        <v>3</v>
      </c>
      <c r="B9" s="3" t="s">
        <v>12</v>
      </c>
      <c r="C9" s="4" t="s">
        <v>27</v>
      </c>
      <c r="D9" s="4">
        <f>1148+38</f>
        <v>1186</v>
      </c>
      <c r="E9" s="18">
        <f>814.24-271.04+608.28+15.39</f>
        <v>1166.8700000000001</v>
      </c>
      <c r="F9" s="18">
        <f>46</f>
        <v>46</v>
      </c>
      <c r="G9" s="18">
        <f>D9-E9-F9+0.7313</f>
        <v>-26.138700000000117</v>
      </c>
      <c r="H9" s="5">
        <f t="shared" si="0"/>
        <v>-0.0026113891802787468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2516.16</v>
      </c>
      <c r="E10" s="18">
        <f>1354.56-483.04+1036.46+4.97+51.15+13.13+108.96</f>
        <v>2086.19</v>
      </c>
      <c r="F10" s="18">
        <f>F8+F9</f>
        <v>47.08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17467+769</f>
        <v>18236</v>
      </c>
      <c r="E11" s="18">
        <f>22116-2912</f>
        <v>19204</v>
      </c>
      <c r="F11" s="18">
        <f>815</f>
        <v>815</v>
      </c>
      <c r="G11" s="18">
        <f>D11-E11-F11-0.0008</f>
        <v>-1783.0008</v>
      </c>
      <c r="H11" s="5">
        <f t="shared" si="0"/>
        <v>-0.17813085568709727</v>
      </c>
    </row>
    <row r="12" spans="1:8" ht="15">
      <c r="A12" s="27"/>
      <c r="B12" s="17" t="s">
        <v>15</v>
      </c>
      <c r="C12" s="4"/>
      <c r="D12" s="5">
        <f>17366</f>
        <v>17366</v>
      </c>
      <c r="E12" s="18">
        <f>11418.7</f>
        <v>11418.7</v>
      </c>
      <c r="F12" s="18">
        <f>145</f>
        <v>145</v>
      </c>
      <c r="G12" s="18">
        <f>D12-E12-F12+0.0006</f>
        <v>5802.3006</v>
      </c>
      <c r="H12" s="5">
        <f t="shared" si="0"/>
        <v>0.5796793646036266</v>
      </c>
    </row>
    <row r="13" spans="1:8" ht="15">
      <c r="A13" s="28"/>
      <c r="B13" s="14" t="s">
        <v>8</v>
      </c>
      <c r="C13" s="14"/>
      <c r="D13" s="15">
        <f>SUM(D11:D12)</f>
        <v>35602</v>
      </c>
      <c r="E13" s="19">
        <f>SUM(E11:E12)</f>
        <v>30622.7</v>
      </c>
      <c r="F13" s="19">
        <f>SUM(F11:F12)</f>
        <v>960</v>
      </c>
      <c r="G13" s="19">
        <f>SUM(G11:G12)</f>
        <v>4019.2998</v>
      </c>
      <c r="H13" s="5">
        <f t="shared" si="0"/>
        <v>0.40154850891652927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28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63.2</f>
        <v>63.2</v>
      </c>
      <c r="E7" s="13">
        <f>28.445-8.127126+22.1238+1.2475-2.60032-0.0018</f>
        <v>41.087053999999995</v>
      </c>
      <c r="F7" s="13">
        <f>0.05</f>
        <v>0.05</v>
      </c>
      <c r="G7" s="18">
        <f>G8*0.0478+0.0007</f>
        <v>1.8229555000000002</v>
      </c>
      <c r="H7" s="5">
        <f aca="true" t="shared" si="0" ref="H7:H13">G7/10009.5</f>
        <v>0.00018212253359308657</v>
      </c>
      <c r="J7" s="6"/>
    </row>
    <row r="8" spans="1:10" ht="15">
      <c r="A8" s="2">
        <v>2</v>
      </c>
      <c r="B8" s="3" t="s">
        <v>6</v>
      </c>
      <c r="C8" s="5"/>
      <c r="D8" s="5">
        <f>1322.18</f>
        <v>1322.18</v>
      </c>
      <c r="E8" s="18">
        <f>594.66-169.6+462.84+26.1-54.4</f>
        <v>859.5999999999999</v>
      </c>
      <c r="F8" s="18">
        <f>1.12</f>
        <v>1.12</v>
      </c>
      <c r="G8" s="18">
        <f>38.1225</f>
        <v>38.1225</v>
      </c>
      <c r="H8" s="5">
        <f t="shared" si="0"/>
        <v>0.0038086317997901996</v>
      </c>
      <c r="J8" s="6"/>
    </row>
    <row r="9" spans="1:10" ht="15">
      <c r="A9" s="2">
        <v>3</v>
      </c>
      <c r="B9" s="3" t="s">
        <v>12</v>
      </c>
      <c r="C9" s="4" t="s">
        <v>29</v>
      </c>
      <c r="D9" s="4">
        <f>987+12</f>
        <v>999</v>
      </c>
      <c r="E9" s="18">
        <f>760.48-217.28+651.16+81.15-46.56</f>
        <v>1228.9500000000003</v>
      </c>
      <c r="F9" s="18">
        <f>14</f>
        <v>14</v>
      </c>
      <c r="G9" s="18">
        <f>D9-E9-F9+16.2866</f>
        <v>-227.66340000000028</v>
      </c>
      <c r="H9" s="5">
        <f t="shared" si="0"/>
        <v>-0.022744732504121113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2321.1800000000003</v>
      </c>
      <c r="E10" s="18">
        <f>1264.8-361.08+1084.77+78.59+35.62+13.86-6.4+98.75-19.4-100.96</f>
        <v>2088.5499999999997</v>
      </c>
      <c r="F10" s="18">
        <f>F8+F9</f>
        <v>15.120000000000001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18773+699</f>
        <v>19472</v>
      </c>
      <c r="E11" s="18">
        <f>26276-256-312</f>
        <v>25708</v>
      </c>
      <c r="F11" s="18">
        <f>742</f>
        <v>742</v>
      </c>
      <c r="G11" s="18">
        <f>D11-E11-F11+485.7438</f>
        <v>-6492.2562</v>
      </c>
      <c r="H11" s="5">
        <f>G11/10009.5</f>
        <v>-0.6486094410310205</v>
      </c>
    </row>
    <row r="12" spans="1:8" ht="15">
      <c r="A12" s="27"/>
      <c r="B12" s="17" t="s">
        <v>15</v>
      </c>
      <c r="C12" s="4"/>
      <c r="D12" s="5">
        <f>15603</f>
        <v>15603</v>
      </c>
      <c r="E12" s="18">
        <f>10720.3</f>
        <v>10720.3</v>
      </c>
      <c r="F12" s="18">
        <f>119</f>
        <v>119</v>
      </c>
      <c r="G12" s="18">
        <f>D12-E12-F12-432.6844</f>
        <v>4331.015600000001</v>
      </c>
      <c r="H12" s="5">
        <f t="shared" si="0"/>
        <v>0.4326905040211799</v>
      </c>
    </row>
    <row r="13" spans="1:8" ht="15">
      <c r="A13" s="28"/>
      <c r="B13" s="14" t="s">
        <v>8</v>
      </c>
      <c r="C13" s="14"/>
      <c r="D13" s="15">
        <f>SUM(D11:D12)</f>
        <v>35075</v>
      </c>
      <c r="E13" s="19">
        <f>SUM(E11:E12)</f>
        <v>36428.3</v>
      </c>
      <c r="F13" s="19">
        <f>SUM(F11:F12)</f>
        <v>861</v>
      </c>
      <c r="G13" s="19">
        <f>SUM(G11:G12)</f>
        <v>-2161.240599999999</v>
      </c>
      <c r="H13" s="5">
        <f t="shared" si="0"/>
        <v>-0.21591893700984058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30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48.05</f>
        <v>48.05</v>
      </c>
      <c r="E7" s="13">
        <f>21.1692-6.048339+14.9972+0.6259-2.15232+0.0024</f>
        <v>28.594041</v>
      </c>
      <c r="F7" s="13">
        <f>0.03</f>
        <v>0.03</v>
      </c>
      <c r="G7" s="18">
        <f>38.1225*0.0354+0.0001</f>
        <v>1.3496365000000001</v>
      </c>
      <c r="H7" s="5">
        <f aca="true" t="shared" si="0" ref="H7:H13">G7/10009.5</f>
        <v>0.0001348355562215895</v>
      </c>
      <c r="J7" s="6"/>
    </row>
    <row r="8" spans="1:10" ht="15">
      <c r="A8" s="2">
        <v>2</v>
      </c>
      <c r="B8" s="3" t="s">
        <v>6</v>
      </c>
      <c r="C8" s="5"/>
      <c r="D8" s="5">
        <f>905.5</f>
        <v>905.5</v>
      </c>
      <c r="E8" s="20">
        <f>596.904-170.24+423.65+17.68-60.8</f>
        <v>807.194</v>
      </c>
      <c r="F8" s="18">
        <v>0.75</v>
      </c>
      <c r="G8" s="18">
        <f>38.1225</f>
        <v>38.1225</v>
      </c>
      <c r="H8" s="5">
        <f t="shared" si="0"/>
        <v>0.0038086317997901996</v>
      </c>
      <c r="J8" s="6"/>
    </row>
    <row r="9" spans="1:10" ht="15">
      <c r="A9" s="2">
        <v>3</v>
      </c>
      <c r="B9" s="3" t="s">
        <v>12</v>
      </c>
      <c r="C9" s="4" t="s">
        <v>31</v>
      </c>
      <c r="D9" s="4">
        <f>1478+17</f>
        <v>1495</v>
      </c>
      <c r="E9" s="18">
        <f>763.196-218.056+537.16+35.42-65.96</f>
        <v>1051.76</v>
      </c>
      <c r="F9" s="18">
        <f>16</f>
        <v>16</v>
      </c>
      <c r="G9" s="18">
        <f>38.1225</f>
        <v>38.1225</v>
      </c>
      <c r="H9" s="5">
        <f t="shared" si="0"/>
        <v>0.0038086317997901996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2400.5</v>
      </c>
      <c r="E10" s="18">
        <f>1269.76-362.496+945.32+23.25-126.76+42.92+16.17-6.4+76.59-19.4</f>
        <v>1858.954</v>
      </c>
      <c r="F10" s="18">
        <f>F8+F9</f>
        <v>16.75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19926+858</f>
        <v>20784</v>
      </c>
      <c r="E11" s="18">
        <f>24260-1416-312</f>
        <v>22532</v>
      </c>
      <c r="F11" s="18">
        <f>858+41</f>
        <v>899</v>
      </c>
      <c r="G11" s="18">
        <f>D11-E11-F11-0.0001</f>
        <v>-2647.0001</v>
      </c>
      <c r="H11" s="5">
        <f t="shared" si="0"/>
        <v>-0.26444878365552726</v>
      </c>
    </row>
    <row r="12" spans="1:8" ht="15">
      <c r="A12" s="27"/>
      <c r="B12" s="17" t="s">
        <v>15</v>
      </c>
      <c r="C12" s="4"/>
      <c r="D12" s="5">
        <f>17099</f>
        <v>17099</v>
      </c>
      <c r="E12" s="18">
        <f>10285</f>
        <v>10285</v>
      </c>
      <c r="F12" s="18">
        <f>118</f>
        <v>118</v>
      </c>
      <c r="G12" s="18">
        <f>D12-E12-F12-0.001</f>
        <v>6695.999</v>
      </c>
      <c r="H12" s="5">
        <f t="shared" si="0"/>
        <v>0.6689643838353564</v>
      </c>
    </row>
    <row r="13" spans="1:8" ht="15">
      <c r="A13" s="28"/>
      <c r="B13" s="14" t="s">
        <v>8</v>
      </c>
      <c r="C13" s="14"/>
      <c r="D13" s="15">
        <f>SUM(D11:D12)</f>
        <v>37883</v>
      </c>
      <c r="E13" s="19">
        <f>SUM(E11:E12)</f>
        <v>32817</v>
      </c>
      <c r="F13" s="19">
        <f>SUM(F11:F12)</f>
        <v>1017</v>
      </c>
      <c r="G13" s="19">
        <f>SUM(G11:G12)</f>
        <v>4048.9988999999996</v>
      </c>
      <c r="H13" s="5">
        <f t="shared" si="0"/>
        <v>0.4045156001798291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7109375" style="0" customWidth="1"/>
    <col min="4" max="4" width="15.7109375" style="0" customWidth="1"/>
    <col min="5" max="5" width="16.7109375" style="0" customWidth="1"/>
    <col min="6" max="6" width="15.7109375" style="0" customWidth="1"/>
    <col min="7" max="7" width="12.421875" style="0" customWidth="1"/>
    <col min="8" max="8" width="13.421875" style="0" customWidth="1"/>
    <col min="9" max="9" width="9.57421875" style="0" bestFit="1" customWidth="1"/>
  </cols>
  <sheetData>
    <row r="3" spans="2:3" ht="15.75">
      <c r="B3" s="10" t="s">
        <v>32</v>
      </c>
      <c r="C3" s="10"/>
    </row>
    <row r="4" spans="1:8" ht="15">
      <c r="A4" s="29" t="s">
        <v>5</v>
      </c>
      <c r="B4" s="29"/>
      <c r="C4" s="29"/>
      <c r="D4" s="29"/>
      <c r="E4" s="29"/>
      <c r="F4" s="29"/>
      <c r="G4" s="29"/>
      <c r="H4" s="29"/>
    </row>
    <row r="5" spans="1:8" ht="68.25" customHeight="1">
      <c r="A5" s="30" t="s">
        <v>0</v>
      </c>
      <c r="B5" s="32" t="s">
        <v>1</v>
      </c>
      <c r="C5" s="30" t="s">
        <v>2</v>
      </c>
      <c r="D5" s="30" t="s">
        <v>11</v>
      </c>
      <c r="E5" s="30" t="s">
        <v>10</v>
      </c>
      <c r="F5" s="30" t="s">
        <v>9</v>
      </c>
      <c r="G5" s="30" t="s">
        <v>3</v>
      </c>
      <c r="H5" s="32" t="s">
        <v>4</v>
      </c>
    </row>
    <row r="6" spans="1:8" ht="37.5" customHeight="1">
      <c r="A6" s="31"/>
      <c r="B6" s="33"/>
      <c r="C6" s="31"/>
      <c r="D6" s="31"/>
      <c r="E6" s="31"/>
      <c r="F6" s="31"/>
      <c r="G6" s="31"/>
      <c r="H6" s="33"/>
    </row>
    <row r="7" spans="1:10" ht="15">
      <c r="A7" s="11">
        <v>1</v>
      </c>
      <c r="B7" s="12" t="s">
        <v>13</v>
      </c>
      <c r="C7" s="11"/>
      <c r="D7" s="16">
        <f>65.42</f>
        <v>65.42</v>
      </c>
      <c r="E7" s="13">
        <f>27.9979-7.999447+22.6176+9.5507-0.0007</f>
        <v>52.166053</v>
      </c>
      <c r="F7" s="13">
        <f>0.05</f>
        <v>0.05</v>
      </c>
      <c r="G7" s="18">
        <f>38.1225*0.048+0.0003</f>
        <v>1.8301800000000001</v>
      </c>
      <c r="H7" s="5">
        <f aca="true" t="shared" si="0" ref="H7:H13">G7/10009.5</f>
        <v>0.0001828442979169789</v>
      </c>
      <c r="J7" s="6"/>
    </row>
    <row r="8" spans="1:10" ht="15">
      <c r="A8" s="2">
        <v>2</v>
      </c>
      <c r="B8" s="3" t="s">
        <v>6</v>
      </c>
      <c r="C8" s="5"/>
      <c r="D8" s="5">
        <f>1155.5</f>
        <v>1155.5</v>
      </c>
      <c r="E8" s="18">
        <f>583.44-166.4+471.2+198.97</f>
        <v>1087.21</v>
      </c>
      <c r="F8" s="18">
        <f>0.97</f>
        <v>0.97</v>
      </c>
      <c r="G8" s="18">
        <f>38.1225</f>
        <v>38.1225</v>
      </c>
      <c r="H8" s="5">
        <f t="shared" si="0"/>
        <v>0.0038086317997901996</v>
      </c>
      <c r="J8" s="6"/>
    </row>
    <row r="9" spans="1:10" ht="15">
      <c r="A9" s="2">
        <v>3</v>
      </c>
      <c r="B9" s="3" t="s">
        <v>12</v>
      </c>
      <c r="C9" s="4" t="s">
        <v>33</v>
      </c>
      <c r="D9" s="4">
        <f>12+1232</f>
        <v>1244</v>
      </c>
      <c r="E9" s="18">
        <f>753.69-215.34+301.05+78.74</f>
        <v>918.1400000000001</v>
      </c>
      <c r="F9" s="18">
        <f>15</f>
        <v>15</v>
      </c>
      <c r="G9" s="18">
        <f>38.1225</f>
        <v>38.1225</v>
      </c>
      <c r="H9" s="5">
        <f t="shared" si="0"/>
        <v>0.0038086317997901996</v>
      </c>
      <c r="J9" s="6"/>
    </row>
    <row r="10" spans="1:8" ht="15">
      <c r="A10" s="2">
        <v>4</v>
      </c>
      <c r="B10" s="3" t="s">
        <v>7</v>
      </c>
      <c r="C10" s="4"/>
      <c r="D10" s="4">
        <f>D8+D9</f>
        <v>2399.5</v>
      </c>
      <c r="E10" s="18">
        <f>1252.4-357.54+880.4+200.1-40.5-4.8+94.69-19.4</f>
        <v>2005.3500000000001</v>
      </c>
      <c r="F10" s="18">
        <f>F8+F9</f>
        <v>15.97</v>
      </c>
      <c r="G10" s="18">
        <v>0</v>
      </c>
      <c r="H10" s="5">
        <f t="shared" si="0"/>
        <v>0</v>
      </c>
    </row>
    <row r="11" spans="1:8" ht="15">
      <c r="A11" s="26">
        <v>5</v>
      </c>
      <c r="B11" s="17" t="s">
        <v>14</v>
      </c>
      <c r="C11" s="4"/>
      <c r="D11" s="5">
        <f>22750+854</f>
        <v>23604</v>
      </c>
      <c r="E11" s="18">
        <f>21085-1420-312</f>
        <v>19353</v>
      </c>
      <c r="F11" s="18">
        <f>854+111</f>
        <v>965</v>
      </c>
      <c r="G11" s="18">
        <f>D11-E11-F11+0.0003</f>
        <v>3286.0003</v>
      </c>
      <c r="H11" s="5">
        <f t="shared" si="0"/>
        <v>0.32828815625156105</v>
      </c>
    </row>
    <row r="12" spans="1:8" ht="15">
      <c r="A12" s="27"/>
      <c r="B12" s="17" t="s">
        <v>15</v>
      </c>
      <c r="C12" s="4"/>
      <c r="D12" s="5">
        <f>21586</f>
        <v>21586</v>
      </c>
      <c r="E12" s="18">
        <f>9327</f>
        <v>9327</v>
      </c>
      <c r="F12" s="18">
        <f>229</f>
        <v>229</v>
      </c>
      <c r="G12" s="18">
        <f>5001.5+0.0002</f>
        <v>5001.5002</v>
      </c>
      <c r="H12" s="5">
        <f t="shared" si="0"/>
        <v>0.49967532843798396</v>
      </c>
    </row>
    <row r="13" spans="1:8" ht="15">
      <c r="A13" s="28"/>
      <c r="B13" s="14" t="s">
        <v>8</v>
      </c>
      <c r="C13" s="14"/>
      <c r="D13" s="15">
        <f>SUM(D11:D12)</f>
        <v>45190</v>
      </c>
      <c r="E13" s="19">
        <f>SUM(E11:E12)</f>
        <v>28680</v>
      </c>
      <c r="F13" s="19">
        <f>SUM(F11:F12)</f>
        <v>1194</v>
      </c>
      <c r="G13" s="19">
        <f>SUM(G11:G12)</f>
        <v>8287.5005</v>
      </c>
      <c r="H13" s="5">
        <f t="shared" si="0"/>
        <v>0.827963484689545</v>
      </c>
    </row>
    <row r="14" spans="1:6" ht="15">
      <c r="A14" s="1"/>
      <c r="B14" s="1"/>
      <c r="C14" s="1"/>
      <c r="D14" s="8"/>
      <c r="E14" s="9"/>
      <c r="F14" s="1"/>
    </row>
    <row r="15" spans="1:6" ht="15">
      <c r="A15" s="1"/>
      <c r="B15" s="1"/>
      <c r="C15" s="1"/>
      <c r="D15" s="8"/>
      <c r="E15" s="9"/>
      <c r="F15" s="1"/>
    </row>
    <row r="16" spans="1:6" ht="15">
      <c r="A16" s="1"/>
      <c r="B16" s="1"/>
      <c r="C16" s="1"/>
      <c r="D16" s="8"/>
      <c r="E16" s="7"/>
      <c r="F16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2013-02-25T11:39:42Z</cp:lastPrinted>
  <dcterms:created xsi:type="dcterms:W3CDTF">2006-09-16T00:00:00Z</dcterms:created>
  <dcterms:modified xsi:type="dcterms:W3CDTF">2017-01-31T12:14:54Z</dcterms:modified>
  <cp:category/>
  <cp:version/>
  <cp:contentType/>
  <cp:contentStatus/>
</cp:coreProperties>
</file>