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680" activeTab="0"/>
  </bookViews>
  <sheets>
    <sheet name="Корректировка 97 за 2015г.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<sst xmlns="http://schemas.openxmlformats.org/spreadsheetml/2006/main" count="82" uniqueCount="61">
  <si>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январь</t>
  </si>
  <si>
    <t>февраль</t>
  </si>
  <si>
    <t>март</t>
  </si>
  <si>
    <t>апрель</t>
  </si>
  <si>
    <t>май</t>
  </si>
  <si>
    <t>Итого</t>
  </si>
  <si>
    <t>сентябрь</t>
  </si>
  <si>
    <t>октябрь</t>
  </si>
  <si>
    <t>ноябрь</t>
  </si>
  <si>
    <t>декабрь</t>
  </si>
  <si>
    <t>тариф,      руб/Гкал</t>
  </si>
  <si>
    <t>месяц   2014 год</t>
  </si>
  <si>
    <t>Гкал</t>
  </si>
  <si>
    <t>руб</t>
  </si>
  <si>
    <t xml:space="preserve">Исп:экономист </t>
  </si>
  <si>
    <t>Богдашева Л.Г.</t>
  </si>
  <si>
    <t>Итого за 2014г.</t>
  </si>
  <si>
    <t>Объем тепловой энергии, подлежащий корректировке на отопление.</t>
  </si>
  <si>
    <t>руб.</t>
  </si>
  <si>
    <t>Сумма платы за отопление, подлежащая предъявлению гражданам и нежилым помещениям к доплате (при корректировке по расчетам.)</t>
  </si>
  <si>
    <t>Недоимка- (переплата +)предъявленная гражданам объема и нежилым по отоплению</t>
  </si>
  <si>
    <t>204-80-95</t>
  </si>
  <si>
    <t xml:space="preserve">объем тепловой энергии,примененный ЗАО при корректировке </t>
  </si>
  <si>
    <t>(1375,3226+</t>
  </si>
  <si>
    <t>513,6640=</t>
  </si>
  <si>
    <t>1888,9866)</t>
  </si>
  <si>
    <t>(1424,14+</t>
  </si>
  <si>
    <t>(0+</t>
  </si>
  <si>
    <t>753,4900=</t>
  </si>
  <si>
    <t>объем тепловой энергии, начислено исходя из среднемесячного объема потребления т/э за прошлый год по всему дому(0,022Гкал/кв.м*11666,6)</t>
  </si>
  <si>
    <t>371,8309=</t>
  </si>
  <si>
    <t>(48,8174+</t>
  </si>
  <si>
    <t>(70106,8626+</t>
  </si>
  <si>
    <t>552890,8929=</t>
  </si>
  <si>
    <t>622997,7554)</t>
  </si>
  <si>
    <t>2177,63)</t>
  </si>
  <si>
    <t>.-132,0049=</t>
  </si>
  <si>
    <t>.-132,0049)</t>
  </si>
  <si>
    <t>420,6483)</t>
  </si>
  <si>
    <t>месяц   2015 год</t>
  </si>
  <si>
    <t>АО "УК"Микрорайон Волгоградский"</t>
  </si>
  <si>
    <t>Площадь  из Бонуса по жителям  2015г.</t>
  </si>
  <si>
    <t>м2</t>
  </si>
  <si>
    <t>на 1м2 по жилым (гр10/гр11)</t>
  </si>
  <si>
    <t>в т.ч.1 полугодие</t>
  </si>
  <si>
    <t>в т.ч.2 полугодие</t>
  </si>
  <si>
    <t>Всего объем тепловой энергии  на отопление  по всему дому (гр2+гр3)</t>
  </si>
  <si>
    <t>Площадь  из Бонуса по нежилым  2015г.</t>
  </si>
  <si>
    <t>на 1м2 по нежилым (гр16/гр17)</t>
  </si>
  <si>
    <t>Всего объем тепловой энергии на отопление начислен жителям по дому(гр5+гр6)</t>
  </si>
  <si>
    <t>Объем тепловой энергии подлежащей корректировке по дому(гр4-гр7)</t>
  </si>
  <si>
    <t>Сумма тепловой энергии подлежащей корректировке по дому(гр8*гр9)</t>
  </si>
  <si>
    <t>Объем тепловой энергии подлежащей корректировке по нежилым(гр13-гр14)</t>
  </si>
  <si>
    <t>Объем тепловой энергии начислен по нежилым на отопление.</t>
  </si>
  <si>
    <t>Сумма тепловой энергии подлежащей корректировке по нежилым(гр15*гр9)</t>
  </si>
  <si>
    <t>Перерасчет за услугу отопления за 2015 год по Постановлению правительства РФ № 307 от 23.05.2006 по Репина,97</t>
  </si>
  <si>
    <t>Объем тепловой энергии, предъявленный поставщиком исходя из нормативного объема потребления на отопление по дому (0,033 Гкал/кв.м *9308,50кв.м).</t>
  </si>
  <si>
    <t>объем тепловой энергии, начислен жителям исходя из нормативного объема потребления на отопление  по дому (0,033 Гкал/кв.м *9308,50кв.м)</t>
  </si>
  <si>
    <t>Объем тепловой энергии, начислен жителям исходя из среднемесячного объема потребления на отопление за прошлый год по дому(Sдома*0,019)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</si>
  <si>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дому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</si>
  <si>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нежилым.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</si>
</sst>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_-* #,##0_р_._-;\-* #,##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3" fontId="0" fillId="24" borderId="10" xfId="58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3" fontId="0" fillId="24" borderId="10" xfId="58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4" fontId="0" fillId="24" borderId="10" xfId="58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3" fontId="0" fillId="24" borderId="10" xfId="58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58" applyNumberFormat="1" applyFont="1" applyFill="1" applyBorder="1" applyAlignment="1">
      <alignment horizontal="center" wrapText="1"/>
    </xf>
    <xf numFmtId="166" fontId="0" fillId="24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2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24" borderId="10" xfId="58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2" fillId="24" borderId="10" xfId="58" applyNumberFormat="1" applyFont="1" applyFill="1" applyBorder="1" applyAlignment="1">
      <alignment horizontal="center" wrapText="1"/>
    </xf>
    <xf numFmtId="165" fontId="0" fillId="24" borderId="10" xfId="58" applyNumberFormat="1" applyFont="1" applyFill="1" applyBorder="1" applyAlignment="1">
      <alignment horizontal="center"/>
    </xf>
    <xf numFmtId="4" fontId="0" fillId="24" borderId="10" xfId="58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center" wrapText="1"/>
    </xf>
    <xf numFmtId="165" fontId="0" fillId="24" borderId="12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43" fontId="5" fillId="24" borderId="0" xfId="58" applyFont="1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2.00390625" style="0" customWidth="1"/>
    <col min="2" max="2" width="14.75390625" style="0" customWidth="1"/>
    <col min="3" max="3" width="14.125" style="0" customWidth="1"/>
    <col min="4" max="4" width="12.375" style="0" customWidth="1"/>
    <col min="5" max="5" width="12.875" style="0" customWidth="1"/>
    <col min="6" max="6" width="13.00390625" style="0" customWidth="1"/>
    <col min="7" max="7" width="13.375" style="0" customWidth="1"/>
    <col min="8" max="8" width="12.25390625" style="0" customWidth="1"/>
    <col min="9" max="9" width="11.375" style="0" customWidth="1"/>
    <col min="10" max="10" width="14.875" style="0" customWidth="1"/>
    <col min="11" max="11" width="11.00390625" style="0" customWidth="1"/>
    <col min="12" max="12" width="10.875" style="0" customWidth="1"/>
    <col min="13" max="13" width="11.375" style="0" customWidth="1"/>
    <col min="14" max="14" width="11.25390625" style="0" customWidth="1"/>
    <col min="16" max="16" width="13.875" style="0" customWidth="1"/>
  </cols>
  <sheetData>
    <row r="1" ht="12.75">
      <c r="A1" s="15"/>
    </row>
    <row r="2" spans="1:2" ht="15.75">
      <c r="A2" s="20"/>
      <c r="B2" s="26" t="s">
        <v>55</v>
      </c>
    </row>
    <row r="3" spans="1:2" ht="15.75">
      <c r="A3" s="20"/>
      <c r="B3" s="20"/>
    </row>
    <row r="4" spans="1:3" ht="12.75" customHeight="1">
      <c r="A4" s="38" t="s">
        <v>40</v>
      </c>
      <c r="B4" s="39"/>
      <c r="C4" s="39"/>
    </row>
    <row r="5" spans="1:18" ht="267.75">
      <c r="A5" s="10" t="s">
        <v>39</v>
      </c>
      <c r="B5" s="7" t="s">
        <v>59</v>
      </c>
      <c r="C5" s="7" t="s">
        <v>56</v>
      </c>
      <c r="D5" s="27" t="s">
        <v>46</v>
      </c>
      <c r="E5" s="7" t="s">
        <v>58</v>
      </c>
      <c r="F5" s="7" t="s">
        <v>57</v>
      </c>
      <c r="G5" s="27" t="s">
        <v>49</v>
      </c>
      <c r="H5" s="3" t="s">
        <v>50</v>
      </c>
      <c r="I5" s="3" t="s">
        <v>10</v>
      </c>
      <c r="J5" s="3" t="s">
        <v>51</v>
      </c>
      <c r="K5" s="3" t="s">
        <v>41</v>
      </c>
      <c r="L5" s="3" t="s">
        <v>43</v>
      </c>
      <c r="M5" s="7" t="s">
        <v>60</v>
      </c>
      <c r="N5" s="7" t="s">
        <v>53</v>
      </c>
      <c r="O5" s="3" t="s">
        <v>52</v>
      </c>
      <c r="P5" s="3" t="s">
        <v>54</v>
      </c>
      <c r="Q5" s="3" t="s">
        <v>47</v>
      </c>
      <c r="R5" s="3" t="s">
        <v>48</v>
      </c>
    </row>
    <row r="6" spans="1:18" ht="12.75">
      <c r="A6" s="10"/>
      <c r="B6" s="7" t="s">
        <v>12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  <c r="I6" s="3" t="s">
        <v>13</v>
      </c>
      <c r="J6" s="7" t="s">
        <v>13</v>
      </c>
      <c r="K6" s="7" t="s">
        <v>42</v>
      </c>
      <c r="L6" s="7" t="s">
        <v>13</v>
      </c>
      <c r="M6" s="7" t="s">
        <v>12</v>
      </c>
      <c r="N6" s="7" t="s">
        <v>12</v>
      </c>
      <c r="O6" s="7" t="s">
        <v>12</v>
      </c>
      <c r="P6" s="7" t="s">
        <v>13</v>
      </c>
      <c r="Q6" s="7" t="s">
        <v>42</v>
      </c>
      <c r="R6" s="7" t="s">
        <v>13</v>
      </c>
    </row>
    <row r="7" spans="1:18" ht="12.75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  <c r="J7" s="13">
        <v>10</v>
      </c>
      <c r="K7" s="13">
        <v>11</v>
      </c>
      <c r="L7" s="13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2.75">
      <c r="A8" s="6" t="s">
        <v>0</v>
      </c>
      <c r="B8" s="11">
        <v>226.09</v>
      </c>
      <c r="C8" s="11">
        <v>0</v>
      </c>
      <c r="D8" s="24">
        <f aca="true" t="shared" si="0" ref="D8:D16">C8+B8</f>
        <v>226.09</v>
      </c>
      <c r="E8" s="11">
        <v>176.7799</v>
      </c>
      <c r="F8" s="11">
        <v>0</v>
      </c>
      <c r="G8" s="24">
        <f aca="true" t="shared" si="1" ref="G8:G16">E8+F8</f>
        <v>176.7799</v>
      </c>
      <c r="H8" s="28">
        <f aca="true" t="shared" si="2" ref="H8:H16">D8-G8</f>
        <v>49.310100000000006</v>
      </c>
      <c r="I8" s="1">
        <f>1211.12*1.18</f>
        <v>1429.1215999999997</v>
      </c>
      <c r="J8" s="29">
        <f aca="true" t="shared" si="3" ref="J8:J16">H8*I8</f>
        <v>70470.12900815999</v>
      </c>
      <c r="K8" s="19">
        <v>9308.5</v>
      </c>
      <c r="L8" s="19">
        <f aca="true" t="shared" si="4" ref="L8:L16">J8/K8</f>
        <v>7.57051393974969</v>
      </c>
      <c r="M8" s="11">
        <v>6.14</v>
      </c>
      <c r="N8" s="11">
        <v>6.14</v>
      </c>
      <c r="O8" s="11">
        <f aca="true" t="shared" si="5" ref="O8:O16">M8-N8</f>
        <v>0</v>
      </c>
      <c r="P8" s="8">
        <f aca="true" t="shared" si="6" ref="P8:P16">O8*I8</f>
        <v>0</v>
      </c>
      <c r="Q8" s="8">
        <v>262.8</v>
      </c>
      <c r="R8" s="8">
        <f aca="true" t="shared" si="7" ref="R8:R16">P8/Q8</f>
        <v>0</v>
      </c>
    </row>
    <row r="9" spans="1:18" ht="12.75">
      <c r="A9" s="6" t="s">
        <v>1</v>
      </c>
      <c r="B9" s="11">
        <v>161.66</v>
      </c>
      <c r="C9" s="11">
        <v>0</v>
      </c>
      <c r="D9" s="24">
        <f t="shared" si="0"/>
        <v>161.66</v>
      </c>
      <c r="E9" s="11">
        <v>176.7798</v>
      </c>
      <c r="F9" s="11">
        <v>0</v>
      </c>
      <c r="G9" s="24">
        <f t="shared" si="1"/>
        <v>176.7798</v>
      </c>
      <c r="H9" s="28">
        <f t="shared" si="2"/>
        <v>-15.119799999999998</v>
      </c>
      <c r="I9" s="1">
        <f>1211.12*1.18</f>
        <v>1429.1215999999997</v>
      </c>
      <c r="J9" s="29">
        <f t="shared" si="3"/>
        <v>-21608.032767679993</v>
      </c>
      <c r="K9" s="19">
        <v>9308.5</v>
      </c>
      <c r="L9" s="19">
        <f t="shared" si="4"/>
        <v>-2.3213227445539015</v>
      </c>
      <c r="M9" s="11">
        <v>4.41</v>
      </c>
      <c r="N9" s="11">
        <v>4.41</v>
      </c>
      <c r="O9" s="11">
        <f t="shared" si="5"/>
        <v>0</v>
      </c>
      <c r="P9" s="8">
        <f t="shared" si="6"/>
        <v>0</v>
      </c>
      <c r="Q9" s="8">
        <v>262.8</v>
      </c>
      <c r="R9" s="8">
        <f t="shared" si="7"/>
        <v>0</v>
      </c>
    </row>
    <row r="10" spans="1:18" ht="12.75">
      <c r="A10" s="6" t="s">
        <v>2</v>
      </c>
      <c r="B10" s="11">
        <v>151.53</v>
      </c>
      <c r="C10" s="11">
        <v>0</v>
      </c>
      <c r="D10" s="24">
        <f t="shared" si="0"/>
        <v>151.53</v>
      </c>
      <c r="E10" s="11">
        <v>176.7798</v>
      </c>
      <c r="F10" s="11">
        <v>0</v>
      </c>
      <c r="G10" s="24">
        <f t="shared" si="1"/>
        <v>176.7798</v>
      </c>
      <c r="H10" s="28">
        <f t="shared" si="2"/>
        <v>-25.249799999999993</v>
      </c>
      <c r="I10" s="1">
        <f>1211.12*1.18</f>
        <v>1429.1215999999997</v>
      </c>
      <c r="J10" s="29">
        <f t="shared" si="3"/>
        <v>-36085.03457567998</v>
      </c>
      <c r="K10" s="19">
        <v>9308.5</v>
      </c>
      <c r="L10" s="19">
        <f t="shared" si="4"/>
        <v>-3.8765681447795006</v>
      </c>
      <c r="M10" s="11">
        <v>3.97</v>
      </c>
      <c r="N10" s="11">
        <v>3.97</v>
      </c>
      <c r="O10" s="11">
        <f t="shared" si="5"/>
        <v>0</v>
      </c>
      <c r="P10" s="8">
        <f t="shared" si="6"/>
        <v>0</v>
      </c>
      <c r="Q10" s="8">
        <v>262.8</v>
      </c>
      <c r="R10" s="8">
        <f t="shared" si="7"/>
        <v>0</v>
      </c>
    </row>
    <row r="11" spans="1:18" ht="12.75">
      <c r="A11" s="6" t="s">
        <v>3</v>
      </c>
      <c r="B11" s="11">
        <f>121.27</f>
        <v>121.27</v>
      </c>
      <c r="C11" s="11">
        <v>0</v>
      </c>
      <c r="D11" s="24">
        <f t="shared" si="0"/>
        <v>121.27</v>
      </c>
      <c r="E11" s="11">
        <f>176.7646</f>
        <v>176.7646</v>
      </c>
      <c r="F11" s="11">
        <v>0</v>
      </c>
      <c r="G11" s="24">
        <f t="shared" si="1"/>
        <v>176.7646</v>
      </c>
      <c r="H11" s="5">
        <f t="shared" si="2"/>
        <v>-55.494600000000005</v>
      </c>
      <c r="I11" s="1">
        <f>1211.12*1.18</f>
        <v>1429.1215999999997</v>
      </c>
      <c r="J11" s="29">
        <f t="shared" si="3"/>
        <v>-79308.53154335999</v>
      </c>
      <c r="K11" s="19">
        <v>9308.5</v>
      </c>
      <c r="L11" s="19">
        <f t="shared" si="4"/>
        <v>-8.520011982957511</v>
      </c>
      <c r="M11" s="11">
        <f>2.63</f>
        <v>2.63</v>
      </c>
      <c r="N11" s="11">
        <f>2.63</f>
        <v>2.63</v>
      </c>
      <c r="O11" s="11">
        <f t="shared" si="5"/>
        <v>0</v>
      </c>
      <c r="P11" s="8">
        <f t="shared" si="6"/>
        <v>0</v>
      </c>
      <c r="Q11" s="8">
        <v>262.8</v>
      </c>
      <c r="R11" s="8">
        <f t="shared" si="7"/>
        <v>0</v>
      </c>
    </row>
    <row r="12" spans="1:18" ht="12.75">
      <c r="A12" s="6" t="s">
        <v>4</v>
      </c>
      <c r="B12" s="11">
        <f>30.36</f>
        <v>30.36</v>
      </c>
      <c r="C12" s="11">
        <v>0</v>
      </c>
      <c r="D12" s="24">
        <f t="shared" si="0"/>
        <v>30.36</v>
      </c>
      <c r="E12" s="11">
        <f>68.4248</f>
        <v>68.4248</v>
      </c>
      <c r="F12" s="11">
        <v>0</v>
      </c>
      <c r="G12" s="24">
        <f t="shared" si="1"/>
        <v>68.4248</v>
      </c>
      <c r="H12" s="5">
        <f t="shared" si="2"/>
        <v>-38.064800000000005</v>
      </c>
      <c r="I12" s="1">
        <f>1211.12*1.18</f>
        <v>1429.1215999999997</v>
      </c>
      <c r="J12" s="29">
        <f t="shared" si="3"/>
        <v>-54399.227879679995</v>
      </c>
      <c r="K12" s="19">
        <v>9308.5</v>
      </c>
      <c r="L12" s="19">
        <f t="shared" si="4"/>
        <v>-5.844038016831927</v>
      </c>
      <c r="M12" s="11">
        <f>0.49</f>
        <v>0.49</v>
      </c>
      <c r="N12" s="11">
        <f>0.49</f>
        <v>0.49</v>
      </c>
      <c r="O12" s="11">
        <f t="shared" si="5"/>
        <v>0</v>
      </c>
      <c r="P12" s="8">
        <f t="shared" si="6"/>
        <v>0</v>
      </c>
      <c r="Q12" s="8">
        <v>262.8</v>
      </c>
      <c r="R12" s="8">
        <f t="shared" si="7"/>
        <v>0</v>
      </c>
    </row>
    <row r="13" spans="1:18" ht="12.75">
      <c r="A13" s="6" t="s">
        <v>6</v>
      </c>
      <c r="B13" s="11">
        <f>33.47</f>
        <v>33.47</v>
      </c>
      <c r="C13" s="11">
        <v>0</v>
      </c>
      <c r="D13" s="24">
        <f t="shared" si="0"/>
        <v>33.47</v>
      </c>
      <c r="E13" s="11">
        <f>58.9584</f>
        <v>58.9584</v>
      </c>
      <c r="F13" s="11">
        <v>0</v>
      </c>
      <c r="G13" s="24">
        <f t="shared" si="1"/>
        <v>58.9584</v>
      </c>
      <c r="H13" s="5">
        <f t="shared" si="2"/>
        <v>-25.4884</v>
      </c>
      <c r="I13" s="1">
        <f>1338.29*1.18</f>
        <v>1579.1822</v>
      </c>
      <c r="J13" s="29">
        <f t="shared" si="3"/>
        <v>-40250.827586479994</v>
      </c>
      <c r="K13" s="19">
        <v>9308.5</v>
      </c>
      <c r="L13" s="19">
        <f t="shared" si="4"/>
        <v>-4.324093848254821</v>
      </c>
      <c r="M13" s="11">
        <f>0.27</f>
        <v>0.27</v>
      </c>
      <c r="N13" s="11">
        <f>0.27</f>
        <v>0.27</v>
      </c>
      <c r="O13" s="11">
        <f t="shared" si="5"/>
        <v>0</v>
      </c>
      <c r="P13" s="8">
        <f t="shared" si="6"/>
        <v>0</v>
      </c>
      <c r="Q13" s="8">
        <v>262.8</v>
      </c>
      <c r="R13" s="8">
        <f t="shared" si="7"/>
        <v>0</v>
      </c>
    </row>
    <row r="14" spans="1:18" ht="12.75">
      <c r="A14" s="6" t="s">
        <v>7</v>
      </c>
      <c r="B14" s="11">
        <f>129.66</f>
        <v>129.66</v>
      </c>
      <c r="C14" s="11">
        <v>0</v>
      </c>
      <c r="D14" s="24">
        <f t="shared" si="0"/>
        <v>129.66</v>
      </c>
      <c r="E14" s="11">
        <f>176.8729</f>
        <v>176.8729</v>
      </c>
      <c r="F14" s="11">
        <v>0</v>
      </c>
      <c r="G14" s="24">
        <f t="shared" si="1"/>
        <v>176.8729</v>
      </c>
      <c r="H14" s="5">
        <f t="shared" si="2"/>
        <v>-47.21289999999999</v>
      </c>
      <c r="I14" s="1">
        <f>1338.29*1.18</f>
        <v>1579.1822</v>
      </c>
      <c r="J14" s="29">
        <f t="shared" si="3"/>
        <v>-74557.77129037998</v>
      </c>
      <c r="K14" s="19">
        <v>9308.5</v>
      </c>
      <c r="L14" s="19">
        <f t="shared" si="4"/>
        <v>-8.00964401250255</v>
      </c>
      <c r="M14" s="11">
        <f>2.49</f>
        <v>2.49</v>
      </c>
      <c r="N14" s="11">
        <f>2.49</f>
        <v>2.49</v>
      </c>
      <c r="O14" s="11">
        <f t="shared" si="5"/>
        <v>0</v>
      </c>
      <c r="P14" s="8">
        <f t="shared" si="6"/>
        <v>0</v>
      </c>
      <c r="Q14" s="8">
        <v>262.8</v>
      </c>
      <c r="R14" s="8">
        <f t="shared" si="7"/>
        <v>0</v>
      </c>
    </row>
    <row r="15" spans="1:18" ht="12.75">
      <c r="A15" s="6" t="s">
        <v>8</v>
      </c>
      <c r="B15" s="11">
        <f>197.95</f>
        <v>197.95</v>
      </c>
      <c r="C15" s="11">
        <v>0</v>
      </c>
      <c r="D15" s="24">
        <f t="shared" si="0"/>
        <v>197.95</v>
      </c>
      <c r="E15" s="11">
        <f>176.8729</f>
        <v>176.8729</v>
      </c>
      <c r="F15" s="11">
        <v>0</v>
      </c>
      <c r="G15" s="24">
        <f t="shared" si="1"/>
        <v>176.8729</v>
      </c>
      <c r="H15" s="5">
        <f t="shared" si="2"/>
        <v>21.0771</v>
      </c>
      <c r="I15" s="1">
        <f>1338.29*1.18</f>
        <v>1579.1822</v>
      </c>
      <c r="J15" s="29">
        <f t="shared" si="3"/>
        <v>33284.58114762</v>
      </c>
      <c r="K15" s="19">
        <v>9308.5</v>
      </c>
      <c r="L15" s="19">
        <f t="shared" si="4"/>
        <v>3.5757190898232802</v>
      </c>
      <c r="M15" s="11">
        <f>4.39</f>
        <v>4.39</v>
      </c>
      <c r="N15" s="11">
        <f>4.39</f>
        <v>4.39</v>
      </c>
      <c r="O15" s="11">
        <f t="shared" si="5"/>
        <v>0</v>
      </c>
      <c r="P15" s="8">
        <f t="shared" si="6"/>
        <v>0</v>
      </c>
      <c r="Q15" s="8">
        <v>262.8</v>
      </c>
      <c r="R15" s="8">
        <f t="shared" si="7"/>
        <v>0</v>
      </c>
    </row>
    <row r="16" spans="1:18" ht="12.75">
      <c r="A16" s="6" t="s">
        <v>9</v>
      </c>
      <c r="B16" s="11">
        <f>195.19</f>
        <v>195.19</v>
      </c>
      <c r="C16" s="11">
        <v>0</v>
      </c>
      <c r="D16" s="24">
        <f t="shared" si="0"/>
        <v>195.19</v>
      </c>
      <c r="E16" s="11">
        <f>176.8653</f>
        <v>176.8653</v>
      </c>
      <c r="F16" s="11">
        <v>0</v>
      </c>
      <c r="G16" s="24">
        <f t="shared" si="1"/>
        <v>176.8653</v>
      </c>
      <c r="H16" s="5">
        <f t="shared" si="2"/>
        <v>18.324700000000007</v>
      </c>
      <c r="I16" s="1">
        <f>1338.29*1.18</f>
        <v>1579.1822</v>
      </c>
      <c r="J16" s="29">
        <f t="shared" si="3"/>
        <v>28938.040060340012</v>
      </c>
      <c r="K16" s="19">
        <v>9308.5</v>
      </c>
      <c r="L16" s="19">
        <f t="shared" si="4"/>
        <v>3.108775856511792</v>
      </c>
      <c r="M16" s="11">
        <f>5.46</f>
        <v>5.46</v>
      </c>
      <c r="N16" s="11">
        <f>5.46</f>
        <v>5.46</v>
      </c>
      <c r="O16" s="11">
        <f t="shared" si="5"/>
        <v>0</v>
      </c>
      <c r="P16" s="8">
        <f t="shared" si="6"/>
        <v>0</v>
      </c>
      <c r="Q16" s="8">
        <v>262.8</v>
      </c>
      <c r="R16" s="8">
        <f t="shared" si="7"/>
        <v>0</v>
      </c>
    </row>
    <row r="17" spans="1:18" ht="12.75">
      <c r="A17" s="2" t="s">
        <v>5</v>
      </c>
      <c r="B17" s="16">
        <f aca="true" t="shared" si="8" ref="B17:H17">SUM(B8:B16)</f>
        <v>1247.18</v>
      </c>
      <c r="C17" s="16">
        <f t="shared" si="8"/>
        <v>0</v>
      </c>
      <c r="D17" s="16">
        <f t="shared" si="8"/>
        <v>1247.18</v>
      </c>
      <c r="E17" s="16">
        <f t="shared" si="8"/>
        <v>1365.0983999999999</v>
      </c>
      <c r="F17" s="16">
        <f t="shared" si="8"/>
        <v>0</v>
      </c>
      <c r="G17" s="16">
        <f t="shared" si="8"/>
        <v>1365.0983999999999</v>
      </c>
      <c r="H17" s="25">
        <f t="shared" si="8"/>
        <v>-117.91839999999999</v>
      </c>
      <c r="I17" s="25"/>
      <c r="J17" s="30">
        <f>SUM(J8:J16)</f>
        <v>-173516.6754271399</v>
      </c>
      <c r="K17" s="16"/>
      <c r="L17" s="9">
        <f>SUM(L8:L16)</f>
        <v>-18.640669863795452</v>
      </c>
      <c r="M17" s="16">
        <f>SUM(M8:M16)</f>
        <v>30.25</v>
      </c>
      <c r="N17" s="16">
        <f>SUM(N8:N16)</f>
        <v>30.25</v>
      </c>
      <c r="O17" s="16">
        <f>SUM(O8:O16)</f>
        <v>0</v>
      </c>
      <c r="P17" s="9">
        <f>SUM(P8:P16)</f>
        <v>0</v>
      </c>
      <c r="Q17" s="16"/>
      <c r="R17" s="9">
        <f>SUM(R8:R16)</f>
        <v>0</v>
      </c>
    </row>
    <row r="18" spans="1:18" ht="12.75">
      <c r="A18" s="4" t="s">
        <v>44</v>
      </c>
      <c r="B18" s="21"/>
      <c r="D18" s="21">
        <f>SUM(D8:D12)</f>
        <v>690.91</v>
      </c>
      <c r="E18" s="21">
        <f>SUM(E8:E12)</f>
        <v>775.5289</v>
      </c>
      <c r="G18" s="21">
        <f>SUM(G8:G12)</f>
        <v>775.5289</v>
      </c>
      <c r="H18" s="21">
        <f>SUM(H8:H12)</f>
        <v>-84.6189</v>
      </c>
      <c r="J18" s="31">
        <f>SUM(J8:J12)</f>
        <v>-120930.69775823997</v>
      </c>
      <c r="L18" s="14">
        <f>SUM(L8:L12)</f>
        <v>-12.991426949373151</v>
      </c>
      <c r="M18" s="21">
        <f>SUM(M8:M12)</f>
        <v>17.64</v>
      </c>
      <c r="N18" s="21">
        <f>SUM(N8:N12)</f>
        <v>17.64</v>
      </c>
      <c r="O18" s="21">
        <f>SUM(O8:O12)</f>
        <v>0</v>
      </c>
      <c r="P18" s="14">
        <f>SUM(P8:P12)</f>
        <v>0</v>
      </c>
      <c r="R18" s="14">
        <f>SUM(R8:R12)</f>
        <v>0</v>
      </c>
    </row>
    <row r="19" spans="1:18" ht="12.75">
      <c r="A19" s="4" t="s">
        <v>45</v>
      </c>
      <c r="B19" s="21"/>
      <c r="C19" s="18"/>
      <c r="D19" s="21">
        <f>SUM(D13:D16)</f>
        <v>556.27</v>
      </c>
      <c r="E19" s="21">
        <f>SUM(E13:E16)</f>
        <v>589.5695000000001</v>
      </c>
      <c r="G19" s="21">
        <f>SUM(G13:G16)</f>
        <v>589.5695000000001</v>
      </c>
      <c r="H19" s="21">
        <f>SUM(H13:H16)</f>
        <v>-33.29949999999998</v>
      </c>
      <c r="J19" s="31">
        <f>SUM(J13:J16)</f>
        <v>-52585.97766889996</v>
      </c>
      <c r="L19" s="14">
        <f>SUM(L13:L16)</f>
        <v>-5.649242914422298</v>
      </c>
      <c r="M19" s="21">
        <f>SUM(M13:M16)</f>
        <v>12.61</v>
      </c>
      <c r="N19" s="21">
        <f>SUM(N13:N16)</f>
        <v>12.61</v>
      </c>
      <c r="O19" s="21">
        <f>SUM(O13:O16)</f>
        <v>0</v>
      </c>
      <c r="P19" s="14">
        <f>SUM(P13:P16)</f>
        <v>0</v>
      </c>
      <c r="R19" s="14">
        <f>SUM(R13:R16)</f>
        <v>0</v>
      </c>
    </row>
    <row r="20" spans="1:3" ht="12.75">
      <c r="A20" s="4"/>
      <c r="C20" s="18"/>
    </row>
    <row r="23" spans="1:4" ht="12.75">
      <c r="A23" t="s">
        <v>14</v>
      </c>
      <c r="D23" t="s">
        <v>15</v>
      </c>
    </row>
    <row r="24" ht="12.75">
      <c r="A24" t="s">
        <v>21</v>
      </c>
    </row>
    <row r="33" ht="12.75">
      <c r="C33">
        <f>B32+C32</f>
        <v>0</v>
      </c>
    </row>
    <row r="159" spans="1:8" ht="165.75">
      <c r="A159" s="10" t="s">
        <v>11</v>
      </c>
      <c r="B159" s="7" t="s">
        <v>29</v>
      </c>
      <c r="C159" s="7" t="s">
        <v>17</v>
      </c>
      <c r="D159" s="7" t="s">
        <v>19</v>
      </c>
      <c r="E159" s="7" t="s">
        <v>22</v>
      </c>
      <c r="F159" s="7"/>
      <c r="G159" s="7"/>
      <c r="H159" s="7" t="s">
        <v>20</v>
      </c>
    </row>
    <row r="160" spans="1:8" ht="12.75">
      <c r="A160" s="10"/>
      <c r="B160" s="7" t="s">
        <v>12</v>
      </c>
      <c r="C160" s="7" t="s">
        <v>12</v>
      </c>
      <c r="D160" s="7" t="s">
        <v>18</v>
      </c>
      <c r="E160" s="7" t="s">
        <v>12</v>
      </c>
      <c r="F160" s="7"/>
      <c r="G160" s="7"/>
      <c r="H160" s="7" t="s">
        <v>12</v>
      </c>
    </row>
    <row r="161" spans="1:8" ht="12.75">
      <c r="A161" s="10">
        <v>1</v>
      </c>
      <c r="B161" s="12">
        <v>2</v>
      </c>
      <c r="C161" s="12">
        <v>3</v>
      </c>
      <c r="D161" s="12">
        <v>4</v>
      </c>
      <c r="E161" s="12">
        <v>5</v>
      </c>
      <c r="F161" s="12"/>
      <c r="G161" s="12"/>
      <c r="H161" s="12">
        <v>6</v>
      </c>
    </row>
    <row r="162" spans="1:8" ht="12.75" customHeight="1">
      <c r="A162" s="36" t="s">
        <v>16</v>
      </c>
      <c r="B162" s="34" t="e">
        <f>#REF!+#REF!</f>
        <v>#REF!</v>
      </c>
      <c r="C162" s="34" t="e">
        <f>#REF!+#REF!</f>
        <v>#REF!</v>
      </c>
      <c r="D162" s="34" t="e">
        <f>#REF!+#REF!</f>
        <v>#REF!</v>
      </c>
      <c r="E162" s="32" t="e">
        <f>#REF!+#REF!</f>
        <v>#REF!</v>
      </c>
      <c r="F162" s="22"/>
      <c r="G162" s="22"/>
      <c r="H162" s="34" t="e">
        <f>#REF!+#REF!</f>
        <v>#REF!</v>
      </c>
    </row>
    <row r="163" spans="1:8" ht="12.75">
      <c r="A163" s="37"/>
      <c r="B163" s="35"/>
      <c r="C163" s="35"/>
      <c r="D163" s="35"/>
      <c r="E163" s="33"/>
      <c r="F163" s="23"/>
      <c r="G163" s="23"/>
      <c r="H163" s="35"/>
    </row>
    <row r="164" spans="2:8" ht="12.75">
      <c r="B164" s="17" t="s">
        <v>23</v>
      </c>
      <c r="C164" t="s">
        <v>31</v>
      </c>
      <c r="D164" t="s">
        <v>32</v>
      </c>
      <c r="E164" s="14" t="s">
        <v>26</v>
      </c>
      <c r="F164" s="14"/>
      <c r="G164" s="14"/>
      <c r="H164" t="s">
        <v>27</v>
      </c>
    </row>
    <row r="165" spans="2:8" ht="12.75">
      <c r="B165" t="s">
        <v>24</v>
      </c>
      <c r="C165" t="s">
        <v>30</v>
      </c>
      <c r="D165" t="s">
        <v>33</v>
      </c>
      <c r="E165" t="s">
        <v>28</v>
      </c>
      <c r="H165" t="s">
        <v>36</v>
      </c>
    </row>
    <row r="166" spans="2:8" ht="12.75">
      <c r="B166" t="s">
        <v>25</v>
      </c>
      <c r="C166" t="s">
        <v>38</v>
      </c>
      <c r="D166" t="s">
        <v>34</v>
      </c>
      <c r="E166" t="s">
        <v>35</v>
      </c>
      <c r="H166" t="s">
        <v>37</v>
      </c>
    </row>
    <row r="169" spans="1:3" ht="12.75">
      <c r="A169" t="s">
        <v>14</v>
      </c>
      <c r="C169" t="s">
        <v>15</v>
      </c>
    </row>
    <row r="170" ht="12.75">
      <c r="A170" t="s">
        <v>21</v>
      </c>
    </row>
  </sheetData>
  <sheetProtection/>
  <mergeCells count="7">
    <mergeCell ref="A4:C4"/>
    <mergeCell ref="E162:E163"/>
    <mergeCell ref="H162:H163"/>
    <mergeCell ref="A162:A163"/>
    <mergeCell ref="B162:B163"/>
    <mergeCell ref="C162:C163"/>
    <mergeCell ref="D162:D163"/>
  </mergeCells>
  <printOptions/>
  <pageMargins left="0.5511811023622047" right="0" top="0.984251968503937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2016-06-24T06:40:26Z</cp:lastPrinted>
  <dcterms:created xsi:type="dcterms:W3CDTF">2012-04-09T03:21:30Z</dcterms:created>
  <dcterms:modified xsi:type="dcterms:W3CDTF">2016-07-29T09:36:52Z</dcterms:modified>
  <cp:category/>
  <cp:version/>
  <cp:contentType/>
  <cp:contentStatus/>
</cp:coreProperties>
</file>