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63.4 (январь)  " sheetId="1" r:id="rId1"/>
    <sheet name="63.4 (февраль)" sheetId="2" r:id="rId2"/>
    <sheet name="63.4 (март)" sheetId="3" r:id="rId3"/>
    <sheet name="63.4 (апрель)" sheetId="4" r:id="rId4"/>
    <sheet name="63.4 (май)" sheetId="5" r:id="rId5"/>
    <sheet name="63.4 (июнь)" sheetId="6" r:id="rId6"/>
    <sheet name="63.4 (июль)" sheetId="7" r:id="rId7"/>
    <sheet name="63.4 (август)" sheetId="8" r:id="rId8"/>
    <sheet name="63.4 (сентябрь)" sheetId="9" r:id="rId9"/>
    <sheet name="63.4 (октябрь)" sheetId="10" r:id="rId10"/>
    <sheet name="63.4 (ноябрь)" sheetId="11" r:id="rId11"/>
    <sheet name="63.4 (декабрь)" sheetId="12" r:id="rId12"/>
    <sheet name="Лист2" sheetId="13" r:id="rId13"/>
    <sheet name="Лист3" sheetId="14" r:id="rId14"/>
  </sheets>
  <definedNames/>
  <calcPr fullCalcOnLoad="1"/>
</workbook>
</file>

<file path=xl/sharedStrings.xml><?xml version="1.0" encoding="utf-8"?>
<sst xmlns="http://schemas.openxmlformats.org/spreadsheetml/2006/main" count="321" uniqueCount="49">
  <si>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</si>
  <si>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</si>
  <si>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</si>
  <si>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</si>
  <si>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</si>
  <si>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</si>
  <si>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</si>
  <si>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</si>
  <si>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Викулова 63-4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</si>
  <si>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</si>
  <si>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</si>
  <si>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</si>
  <si>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</si>
  <si>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</si>
  <si>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</si>
  <si>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сч.664711</t>
  </si>
  <si>
    <t>эл.эн.ночь № сч.664711</t>
  </si>
  <si>
    <t>эл.эн.день № сч.700771</t>
  </si>
  <si>
    <t>эл.эн.ночь № сч.700771</t>
  </si>
  <si>
    <t>эл.эн.день № сч.923360</t>
  </si>
  <si>
    <t>эл.эн.ночь № сч.923360</t>
  </si>
  <si>
    <t>день эл.эн.</t>
  </si>
  <si>
    <t>ночь эл.эн.</t>
  </si>
  <si>
    <t>Объем коммунальных услуг по показаниям общедомовых приборов учета (ОДН) за январь в феврале 2013г.</t>
  </si>
  <si>
    <t>26512,45./26922,20</t>
  </si>
  <si>
    <t>Объем коммунальных услуг по показаниям общедомовых приборов учета (ОДН) за февраль в марте 2013г.</t>
  </si>
  <si>
    <t>26205,93./26640,12</t>
  </si>
  <si>
    <t>Объем коммунальных услуг по показаниям общедомовых приборов учета (ОДН) за март в апреле 2013г.</t>
  </si>
  <si>
    <t>26932,91/27342,01</t>
  </si>
  <si>
    <t>ХВС (тонн)</t>
  </si>
  <si>
    <t>Объем коммунальных услуг по показаниям общедомовых приборов учета (ОДН) за апрель в мае 2013г.</t>
  </si>
  <si>
    <t>нагрев воды (Г.кал.)</t>
  </si>
  <si>
    <t>27648,75./28092,63</t>
  </si>
  <si>
    <t>Объем коммунальных услуг по показаниям общедомовых приборов учета (ОДН) за май в июне 2013г.</t>
  </si>
  <si>
    <t>28385,/28786,5</t>
  </si>
  <si>
    <t>Объем коммунальных услуг по показаниям общедомовых приборов учета (ОДН) за июнь в июле 2013г.</t>
  </si>
  <si>
    <t>28486,54,28911,57</t>
  </si>
  <si>
    <t>Объем коммунальных услуг по показаниям общедомовых приборов учета (ОДН) за июль в августе 2013г.</t>
  </si>
  <si>
    <t>28757,31,/29118,54</t>
  </si>
  <si>
    <t>Объем коммунальных услуг по показаниям общедомовых приборов учета (ОДН) за август в сентябре 2013г.</t>
  </si>
  <si>
    <t>29118,55,/29496,02</t>
  </si>
  <si>
    <t>Объем коммунальных услуг по показаниям общедомовых приборов учета (ОДН) за сентябрь в октябре 2013г.</t>
  </si>
  <si>
    <t>29173,59/29533,31</t>
  </si>
  <si>
    <t>Объем коммунальных услуг по показаниям общедомовых приборов учета (ОДН) за октябрь в ноябре 2013г.</t>
  </si>
  <si>
    <t>28876,23/29215,57</t>
  </si>
  <si>
    <t>Объем коммунальных услуг по показаниям общедомовых приборов учета (ОДН) за ноябрь в декабре 2013г.</t>
  </si>
  <si>
    <t>29215,58,/29621,55</t>
  </si>
  <si>
    <t>29621,55,/30055,61</t>
  </si>
  <si>
    <t>Объем коммунальных услуг по показаниям общедомовых приборов учета (ОДН) за декабрь в январе 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</si>
</sst>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0.0000000"/>
    <numFmt numFmtId="170" formatCode="0.00000000"/>
    <numFmt numFmtId="171" formatCode="0.000000"/>
    <numFmt numFmtId="172" formatCode="0.000000000"/>
    <numFmt numFmtId="173" formatCode="0.0000000000"/>
    <numFmt numFmtId="174" formatCode="#,##0.0000"/>
    <numFmt numFmtId="175" formatCode="#,##0.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4" borderId="0" xfId="0" applyNumberForma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24" borderId="13" xfId="0" applyNumberFormat="1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9" sqref="B9"/>
    </sheetView>
  </sheetViews>
  <sheetFormatPr defaultColWidth="9.140625" defaultRowHeight="15"/>
  <cols>
    <col min="1" max="1" width="5.28125" style="0" customWidth="1"/>
    <col min="2" max="2" width="23.8515625" style="0" customWidth="1"/>
    <col min="3" max="3" width="18.7109375" style="0" customWidth="1"/>
    <col min="4" max="4" width="15.8515625" style="0" customWidth="1"/>
    <col min="5" max="5" width="16.0039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1.851562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23</v>
      </c>
    </row>
    <row r="4" spans="1:10" ht="15">
      <c r="A4" s="30" t="s">
        <v>8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77.25" customHeight="1">
      <c r="A5" s="33" t="s">
        <v>0</v>
      </c>
      <c r="B5" s="35" t="s">
        <v>1</v>
      </c>
      <c r="C5" s="33" t="s">
        <v>2</v>
      </c>
      <c r="D5" s="37" t="s">
        <v>7</v>
      </c>
      <c r="E5" s="38"/>
      <c r="F5" s="33" t="s">
        <v>11</v>
      </c>
      <c r="G5" s="33" t="s">
        <v>3</v>
      </c>
      <c r="H5" s="33" t="s">
        <v>4</v>
      </c>
      <c r="I5" s="33" t="s">
        <v>5</v>
      </c>
      <c r="J5" s="35" t="s">
        <v>6</v>
      </c>
    </row>
    <row r="6" spans="1:10" ht="15.75">
      <c r="A6" s="34"/>
      <c r="B6" s="36"/>
      <c r="C6" s="34"/>
      <c r="D6" s="10" t="s">
        <v>12</v>
      </c>
      <c r="E6" s="4" t="s">
        <v>13</v>
      </c>
      <c r="F6" s="34"/>
      <c r="G6" s="34"/>
      <c r="H6" s="34"/>
      <c r="I6" s="34"/>
      <c r="J6" s="36"/>
    </row>
    <row r="7" spans="1:12" ht="15">
      <c r="A7" s="2">
        <v>1</v>
      </c>
      <c r="B7" s="3" t="s">
        <v>9</v>
      </c>
      <c r="C7" s="7"/>
      <c r="D7" s="5"/>
      <c r="E7" s="5"/>
      <c r="F7" s="7">
        <f>269.67+2.74+2.74+10.55</f>
        <v>285.70000000000005</v>
      </c>
      <c r="G7" s="6">
        <f>188.47+89.74+1.43</f>
        <v>279.64</v>
      </c>
      <c r="H7" s="6">
        <f>2.74+2.74+10.55</f>
        <v>16.03</v>
      </c>
      <c r="I7" s="6">
        <f aca="true" t="shared" si="0" ref="I7:I15">F7-G7-H7</f>
        <v>-9.969999999999942</v>
      </c>
      <c r="J7" s="7">
        <f>I7/3522.3</f>
        <v>-0.0028305368651165264</v>
      </c>
      <c r="L7" s="8"/>
    </row>
    <row r="8" spans="1:12" ht="15">
      <c r="A8" s="2">
        <v>2</v>
      </c>
      <c r="B8" s="3" t="s">
        <v>29</v>
      </c>
      <c r="C8" s="6" t="s">
        <v>24</v>
      </c>
      <c r="D8" s="5"/>
      <c r="E8" s="5"/>
      <c r="F8" s="6">
        <v>409.75</v>
      </c>
      <c r="G8" s="6">
        <f>227.95+113.96+4.15</f>
        <v>346.05999999999995</v>
      </c>
      <c r="H8" s="6">
        <v>0</v>
      </c>
      <c r="I8" s="6">
        <f t="shared" si="0"/>
        <v>63.690000000000055</v>
      </c>
      <c r="J8" s="7">
        <f aca="true" t="shared" si="1" ref="J8:J18">I8/3522.3</f>
        <v>0.01808193509922495</v>
      </c>
      <c r="L8" s="8"/>
    </row>
    <row r="9" spans="1:12" ht="15">
      <c r="A9" s="2">
        <v>3</v>
      </c>
      <c r="B9" s="3" t="s">
        <v>10</v>
      </c>
      <c r="C9" s="6"/>
      <c r="D9" s="5"/>
      <c r="E9" s="5"/>
      <c r="F9" s="6">
        <f>F7+F8</f>
        <v>695.45</v>
      </c>
      <c r="G9" s="6">
        <f>416.42+203.7+5.58</f>
        <v>625.7</v>
      </c>
      <c r="H9" s="6">
        <f>H7+H8</f>
        <v>16.03</v>
      </c>
      <c r="I9" s="6">
        <f t="shared" si="0"/>
        <v>53.72</v>
      </c>
      <c r="J9" s="7">
        <f t="shared" si="1"/>
        <v>0.015251398234108393</v>
      </c>
      <c r="L9" s="8"/>
    </row>
    <row r="10" spans="1:10" ht="15">
      <c r="A10" s="39">
        <v>4</v>
      </c>
      <c r="B10" s="3" t="s">
        <v>15</v>
      </c>
      <c r="C10" s="6"/>
      <c r="D10" s="11">
        <v>3620</v>
      </c>
      <c r="E10" s="11">
        <v>3673</v>
      </c>
      <c r="F10" s="21">
        <f>(E10-D10)*10</f>
        <v>530</v>
      </c>
      <c r="G10" s="6">
        <v>0</v>
      </c>
      <c r="H10" s="6">
        <v>0</v>
      </c>
      <c r="I10" s="6">
        <f t="shared" si="0"/>
        <v>530</v>
      </c>
      <c r="J10" s="7">
        <f t="shared" si="1"/>
        <v>0.1504698634415013</v>
      </c>
    </row>
    <row r="11" spans="1:10" ht="15">
      <c r="A11" s="40"/>
      <c r="B11" s="3" t="s">
        <v>16</v>
      </c>
      <c r="C11" s="6"/>
      <c r="D11" s="11">
        <v>4437</v>
      </c>
      <c r="E11" s="11">
        <v>4494</v>
      </c>
      <c r="F11" s="21">
        <f>(E11-D11)*10</f>
        <v>570</v>
      </c>
      <c r="G11" s="6">
        <v>0</v>
      </c>
      <c r="H11" s="6">
        <v>0</v>
      </c>
      <c r="I11" s="6">
        <f t="shared" si="0"/>
        <v>570</v>
      </c>
      <c r="J11" s="7">
        <f t="shared" si="1"/>
        <v>0.16182607955029382</v>
      </c>
    </row>
    <row r="12" spans="1:10" ht="15">
      <c r="A12" s="40"/>
      <c r="B12" s="3" t="s">
        <v>17</v>
      </c>
      <c r="C12" s="6"/>
      <c r="D12" s="11">
        <v>37336</v>
      </c>
      <c r="E12" s="11">
        <v>37710</v>
      </c>
      <c r="F12" s="21">
        <f>(E12-D12)*1</f>
        <v>374</v>
      </c>
      <c r="G12" s="6">
        <v>0</v>
      </c>
      <c r="H12" s="6">
        <v>0</v>
      </c>
      <c r="I12" s="6">
        <f t="shared" si="0"/>
        <v>374</v>
      </c>
      <c r="J12" s="7">
        <f t="shared" si="1"/>
        <v>0.10618062061721034</v>
      </c>
    </row>
    <row r="13" spans="1:10" ht="15">
      <c r="A13" s="40"/>
      <c r="B13" s="3" t="s">
        <v>18</v>
      </c>
      <c r="C13" s="6"/>
      <c r="D13" s="11">
        <v>22613</v>
      </c>
      <c r="E13" s="11">
        <v>22960</v>
      </c>
      <c r="F13" s="21">
        <f>(E13-D13)*1</f>
        <v>347</v>
      </c>
      <c r="G13" s="6">
        <v>0</v>
      </c>
      <c r="H13" s="6">
        <v>0</v>
      </c>
      <c r="I13" s="6">
        <f t="shared" si="0"/>
        <v>347</v>
      </c>
      <c r="J13" s="7">
        <f t="shared" si="1"/>
        <v>0.09851517474377537</v>
      </c>
    </row>
    <row r="14" spans="1:10" ht="15">
      <c r="A14" s="12"/>
      <c r="B14" s="3" t="s">
        <v>19</v>
      </c>
      <c r="C14" s="13"/>
      <c r="D14" s="11">
        <v>2290</v>
      </c>
      <c r="E14" s="14">
        <v>2883</v>
      </c>
      <c r="F14" s="7">
        <f>(E14-D14)*1</f>
        <v>593</v>
      </c>
      <c r="G14" s="6">
        <v>0</v>
      </c>
      <c r="H14" s="13">
        <v>0</v>
      </c>
      <c r="I14" s="6">
        <f t="shared" si="0"/>
        <v>593</v>
      </c>
      <c r="J14" s="7">
        <f t="shared" si="1"/>
        <v>0.16835590381284954</v>
      </c>
    </row>
    <row r="15" spans="1:10" ht="15">
      <c r="A15" s="12"/>
      <c r="B15" s="3" t="s">
        <v>20</v>
      </c>
      <c r="C15" s="13"/>
      <c r="D15" s="11">
        <v>2837</v>
      </c>
      <c r="E15" s="14">
        <v>3740</v>
      </c>
      <c r="F15" s="7">
        <f>(E15-D15)*1</f>
        <v>903</v>
      </c>
      <c r="G15" s="13">
        <v>0</v>
      </c>
      <c r="H15" s="13">
        <v>0</v>
      </c>
      <c r="I15" s="13">
        <f t="shared" si="0"/>
        <v>903</v>
      </c>
      <c r="J15" s="7">
        <f t="shared" si="1"/>
        <v>0.25636657865599183</v>
      </c>
    </row>
    <row r="16" spans="1:10" ht="15">
      <c r="A16" s="15"/>
      <c r="B16" s="15" t="s">
        <v>14</v>
      </c>
      <c r="C16" s="15"/>
      <c r="D16" s="16"/>
      <c r="E16" s="15"/>
      <c r="F16" s="17">
        <f>SUM(F10:F15)</f>
        <v>3317</v>
      </c>
      <c r="G16" s="17">
        <f>SUM(G10:G15)</f>
        <v>0</v>
      </c>
      <c r="H16" s="17">
        <f>SUM(H10:H15)</f>
        <v>0</v>
      </c>
      <c r="I16" s="17">
        <f>SUM(I10:I15)</f>
        <v>3317</v>
      </c>
      <c r="J16" s="7">
        <f t="shared" si="1"/>
        <v>0.9417142208216221</v>
      </c>
    </row>
    <row r="17" spans="1:12" ht="15">
      <c r="A17" s="1"/>
      <c r="B17" s="1"/>
      <c r="C17" s="1"/>
      <c r="D17" s="1"/>
      <c r="E17" s="1" t="s">
        <v>21</v>
      </c>
      <c r="F17" s="19">
        <f aca="true" t="shared" si="2" ref="F17:I18">F10+F12+F14</f>
        <v>1497</v>
      </c>
      <c r="G17" s="19">
        <f t="shared" si="2"/>
        <v>0</v>
      </c>
      <c r="H17" s="19">
        <f t="shared" si="2"/>
        <v>0</v>
      </c>
      <c r="I17" s="19">
        <f t="shared" si="2"/>
        <v>1497</v>
      </c>
      <c r="J17" s="7">
        <f t="shared" si="1"/>
        <v>0.4250063878715612</v>
      </c>
      <c r="L17" s="8"/>
    </row>
    <row r="18" spans="1:12" ht="15">
      <c r="A18" s="1"/>
      <c r="B18" s="1"/>
      <c r="C18" s="1"/>
      <c r="D18" s="1"/>
      <c r="E18" s="1" t="s">
        <v>22</v>
      </c>
      <c r="F18" s="18">
        <f t="shared" si="2"/>
        <v>1820</v>
      </c>
      <c r="G18" s="18">
        <f t="shared" si="2"/>
        <v>0</v>
      </c>
      <c r="H18" s="18">
        <f t="shared" si="2"/>
        <v>0</v>
      </c>
      <c r="I18" s="18">
        <f t="shared" si="2"/>
        <v>1820</v>
      </c>
      <c r="J18" s="7">
        <f t="shared" si="1"/>
        <v>0.5167078329500611</v>
      </c>
      <c r="K18" s="20"/>
      <c r="L18" s="8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</sheetData>
  <sheetProtection/>
  <mergeCells count="11">
    <mergeCell ref="A10:A13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11" sqref="G11"/>
    </sheetView>
  </sheetViews>
  <sheetFormatPr defaultColWidth="9.140625" defaultRowHeight="15"/>
  <cols>
    <col min="1" max="1" width="5.28125" style="0" customWidth="1"/>
    <col min="2" max="2" width="23.8515625" style="0" customWidth="1"/>
    <col min="3" max="3" width="18.7109375" style="0" customWidth="1"/>
    <col min="4" max="4" width="15.8515625" style="0" customWidth="1"/>
    <col min="5" max="5" width="16.0039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1.851562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43</v>
      </c>
    </row>
    <row r="4" spans="1:10" ht="15">
      <c r="A4" s="30" t="s">
        <v>8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77.25" customHeight="1">
      <c r="A5" s="33" t="s">
        <v>0</v>
      </c>
      <c r="B5" s="35" t="s">
        <v>1</v>
      </c>
      <c r="C5" s="33" t="s">
        <v>2</v>
      </c>
      <c r="D5" s="37" t="s">
        <v>7</v>
      </c>
      <c r="E5" s="38"/>
      <c r="F5" s="33" t="s">
        <v>11</v>
      </c>
      <c r="G5" s="33" t="s">
        <v>3</v>
      </c>
      <c r="H5" s="33" t="s">
        <v>4</v>
      </c>
      <c r="I5" s="33" t="s">
        <v>5</v>
      </c>
      <c r="J5" s="35" t="s">
        <v>6</v>
      </c>
    </row>
    <row r="6" spans="1:10" ht="15.75">
      <c r="A6" s="34"/>
      <c r="B6" s="36"/>
      <c r="C6" s="34"/>
      <c r="D6" s="10" t="s">
        <v>12</v>
      </c>
      <c r="E6" s="4" t="s">
        <v>13</v>
      </c>
      <c r="F6" s="34"/>
      <c r="G6" s="34"/>
      <c r="H6" s="34"/>
      <c r="I6" s="34"/>
      <c r="J6" s="36"/>
    </row>
    <row r="7" spans="1:12" ht="15">
      <c r="A7" s="22">
        <v>1</v>
      </c>
      <c r="B7" s="23" t="s">
        <v>31</v>
      </c>
      <c r="C7" s="22"/>
      <c r="D7" s="24"/>
      <c r="E7" s="25"/>
      <c r="F7" s="22">
        <f>18.57+0.22+0.22+0.9</f>
        <v>19.909999999999997</v>
      </c>
      <c r="G7" s="26">
        <f>G8*0.0478</f>
        <v>12.208359</v>
      </c>
      <c r="H7" s="22">
        <f>0.22+0.22+0.9</f>
        <v>1.34</v>
      </c>
      <c r="I7" s="26">
        <f>I8*0.0478</f>
        <v>0.41657700000000003</v>
      </c>
      <c r="J7" s="7">
        <f aca="true" t="shared" si="0" ref="J7:J19">I7/3522.3</f>
        <v>0.00011826846094881186</v>
      </c>
      <c r="L7" s="8"/>
    </row>
    <row r="8" spans="1:12" ht="15">
      <c r="A8" s="2">
        <v>2</v>
      </c>
      <c r="B8" s="3" t="s">
        <v>9</v>
      </c>
      <c r="C8" s="7"/>
      <c r="D8" s="5"/>
      <c r="E8" s="5"/>
      <c r="F8" s="7">
        <f>267.81+3.12+3.12+12.05</f>
        <v>286.1</v>
      </c>
      <c r="G8" s="6">
        <f>166.415+81.68+7.31</f>
        <v>255.405</v>
      </c>
      <c r="H8" s="6">
        <f>3.12+3.12+12.05</f>
        <v>18.29</v>
      </c>
      <c r="I8" s="6">
        <v>8.715</v>
      </c>
      <c r="J8" s="7">
        <f t="shared" si="0"/>
        <v>0.002474235584703177</v>
      </c>
      <c r="L8" s="8"/>
    </row>
    <row r="9" spans="1:12" ht="15">
      <c r="A9" s="2">
        <v>3</v>
      </c>
      <c r="B9" s="3" t="s">
        <v>29</v>
      </c>
      <c r="C9" s="6" t="s">
        <v>44</v>
      </c>
      <c r="D9" s="5"/>
      <c r="E9" s="5"/>
      <c r="F9" s="6">
        <v>339.342</v>
      </c>
      <c r="G9" s="6">
        <f>198.85+105.47+8.04</f>
        <v>312.36</v>
      </c>
      <c r="H9" s="6">
        <v>0</v>
      </c>
      <c r="I9" s="6">
        <v>8.715</v>
      </c>
      <c r="J9" s="7">
        <f t="shared" si="0"/>
        <v>0.002474235584703177</v>
      </c>
      <c r="L9" s="8"/>
    </row>
    <row r="10" spans="1:10" ht="15">
      <c r="A10" s="2">
        <v>4</v>
      </c>
      <c r="B10" s="3" t="s">
        <v>10</v>
      </c>
      <c r="C10" s="6"/>
      <c r="D10" s="5"/>
      <c r="E10" s="5"/>
      <c r="F10" s="6">
        <f>F8+F9</f>
        <v>625.442</v>
      </c>
      <c r="G10" s="6">
        <f>363.26+187.79+14.55+2.165</f>
        <v>567.7649999999999</v>
      </c>
      <c r="H10" s="6">
        <f>H8+H9</f>
        <v>18.29</v>
      </c>
      <c r="I10" s="6">
        <v>0</v>
      </c>
      <c r="J10" s="7">
        <f t="shared" si="0"/>
        <v>0</v>
      </c>
    </row>
    <row r="11" spans="1:10" ht="15">
      <c r="A11" s="39">
        <v>5</v>
      </c>
      <c r="B11" s="3" t="s">
        <v>15</v>
      </c>
      <c r="C11" s="6"/>
      <c r="D11" s="11">
        <v>3845</v>
      </c>
      <c r="E11" s="11">
        <v>3868</v>
      </c>
      <c r="F11" s="21">
        <f>(E11-D11)*10</f>
        <v>230</v>
      </c>
      <c r="G11" s="6">
        <v>0</v>
      </c>
      <c r="H11" s="6">
        <v>0</v>
      </c>
      <c r="I11" s="6">
        <f aca="true" t="shared" si="1" ref="I11:I16">F11-G11-H11</f>
        <v>230</v>
      </c>
      <c r="J11" s="7">
        <f t="shared" si="0"/>
        <v>0.06529824262555715</v>
      </c>
    </row>
    <row r="12" spans="1:10" ht="15">
      <c r="A12" s="40"/>
      <c r="B12" s="3" t="s">
        <v>16</v>
      </c>
      <c r="C12" s="6"/>
      <c r="D12" s="11">
        <v>4717</v>
      </c>
      <c r="E12" s="11">
        <v>4744</v>
      </c>
      <c r="F12" s="21">
        <f>(E12-D12)*10</f>
        <v>270</v>
      </c>
      <c r="G12" s="6">
        <v>0</v>
      </c>
      <c r="H12" s="6">
        <v>0</v>
      </c>
      <c r="I12" s="6">
        <f t="shared" si="1"/>
        <v>270</v>
      </c>
      <c r="J12" s="7">
        <f t="shared" si="0"/>
        <v>0.07665445873434971</v>
      </c>
    </row>
    <row r="13" spans="1:10" ht="15">
      <c r="A13" s="40"/>
      <c r="B13" s="3" t="s">
        <v>17</v>
      </c>
      <c r="C13" s="6"/>
      <c r="D13" s="11">
        <v>40080</v>
      </c>
      <c r="E13" s="11">
        <v>40330</v>
      </c>
      <c r="F13" s="21">
        <f>(E13-D13)*1</f>
        <v>250</v>
      </c>
      <c r="G13" s="6">
        <v>0</v>
      </c>
      <c r="H13" s="6">
        <v>0</v>
      </c>
      <c r="I13" s="6">
        <f t="shared" si="1"/>
        <v>250</v>
      </c>
      <c r="J13" s="7">
        <f t="shared" si="0"/>
        <v>0.07097635067995343</v>
      </c>
    </row>
    <row r="14" spans="1:10" ht="15">
      <c r="A14" s="40"/>
      <c r="B14" s="3" t="s">
        <v>18</v>
      </c>
      <c r="C14" s="6"/>
      <c r="D14" s="11">
        <v>24747</v>
      </c>
      <c r="E14" s="11">
        <v>25020</v>
      </c>
      <c r="F14" s="21">
        <f>(E14-D14)*1</f>
        <v>273</v>
      </c>
      <c r="G14" s="6">
        <v>0</v>
      </c>
      <c r="H14" s="6">
        <v>0</v>
      </c>
      <c r="I14" s="6">
        <f t="shared" si="1"/>
        <v>273</v>
      </c>
      <c r="J14" s="7">
        <f t="shared" si="0"/>
        <v>0.07750617494250915</v>
      </c>
    </row>
    <row r="15" spans="1:10" ht="15">
      <c r="A15" s="41"/>
      <c r="B15" s="3" t="s">
        <v>19</v>
      </c>
      <c r="C15" s="13"/>
      <c r="D15" s="11">
        <v>6467</v>
      </c>
      <c r="E15" s="14">
        <v>6855</v>
      </c>
      <c r="F15" s="7">
        <f>(E15-D15)*1</f>
        <v>388</v>
      </c>
      <c r="G15" s="6">
        <v>0</v>
      </c>
      <c r="H15" s="13">
        <v>0</v>
      </c>
      <c r="I15" s="6">
        <f t="shared" si="1"/>
        <v>388</v>
      </c>
      <c r="J15" s="7">
        <f t="shared" si="0"/>
        <v>0.11015529625528774</v>
      </c>
    </row>
    <row r="16" spans="1:10" ht="15">
      <c r="A16" s="41"/>
      <c r="B16" s="3" t="s">
        <v>20</v>
      </c>
      <c r="C16" s="13"/>
      <c r="D16" s="11">
        <v>8591</v>
      </c>
      <c r="E16" s="14">
        <v>9080</v>
      </c>
      <c r="F16" s="7">
        <f>(E16-D16)*1</f>
        <v>489</v>
      </c>
      <c r="G16" s="13">
        <v>0</v>
      </c>
      <c r="H16" s="13">
        <v>0</v>
      </c>
      <c r="I16" s="13">
        <f t="shared" si="1"/>
        <v>489</v>
      </c>
      <c r="J16" s="7">
        <f t="shared" si="0"/>
        <v>0.13882974192998893</v>
      </c>
    </row>
    <row r="17" spans="1:12" ht="15">
      <c r="A17" s="42"/>
      <c r="B17" s="15" t="s">
        <v>14</v>
      </c>
      <c r="C17" s="15"/>
      <c r="D17" s="16"/>
      <c r="E17" s="15"/>
      <c r="F17" s="17">
        <f>SUM(F11:F16)</f>
        <v>1900</v>
      </c>
      <c r="G17" s="17">
        <f>SUM(G11:G16)</f>
        <v>0</v>
      </c>
      <c r="H17" s="17">
        <f>SUM(H11:H16)</f>
        <v>0</v>
      </c>
      <c r="I17" s="17">
        <f>SUM(I11:I16)</f>
        <v>1900</v>
      </c>
      <c r="J17" s="7">
        <f t="shared" si="0"/>
        <v>0.5394202651676461</v>
      </c>
      <c r="L17" s="8"/>
    </row>
    <row r="18" spans="1:12" ht="15">
      <c r="A18" s="1"/>
      <c r="B18" s="1"/>
      <c r="C18" s="1"/>
      <c r="D18" s="1"/>
      <c r="E18" s="1" t="s">
        <v>21</v>
      </c>
      <c r="F18" s="19">
        <f aca="true" t="shared" si="2" ref="F18:I19">F11+F13+F15</f>
        <v>868</v>
      </c>
      <c r="G18" s="19">
        <f t="shared" si="2"/>
        <v>0</v>
      </c>
      <c r="H18" s="19">
        <f t="shared" si="2"/>
        <v>0</v>
      </c>
      <c r="I18" s="19">
        <f t="shared" si="2"/>
        <v>868</v>
      </c>
      <c r="J18" s="7">
        <f t="shared" si="0"/>
        <v>0.24642988956079834</v>
      </c>
      <c r="K18" s="20"/>
      <c r="L18" s="8"/>
    </row>
    <row r="19" spans="1:10" ht="15">
      <c r="A19" s="1"/>
      <c r="B19" s="1"/>
      <c r="C19" s="27"/>
      <c r="D19" s="1"/>
      <c r="E19" s="1" t="s">
        <v>22</v>
      </c>
      <c r="F19" s="18">
        <f t="shared" si="2"/>
        <v>1032</v>
      </c>
      <c r="G19" s="18">
        <f t="shared" si="2"/>
        <v>0</v>
      </c>
      <c r="H19" s="18">
        <f t="shared" si="2"/>
        <v>0</v>
      </c>
      <c r="I19" s="18">
        <f t="shared" si="2"/>
        <v>1032</v>
      </c>
      <c r="J19" s="7">
        <f t="shared" si="0"/>
        <v>0.29299037560684776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28125" style="0" customWidth="1"/>
    <col min="2" max="2" width="23.8515625" style="0" customWidth="1"/>
    <col min="3" max="3" width="18.7109375" style="0" customWidth="1"/>
    <col min="4" max="4" width="15.8515625" style="0" customWidth="1"/>
    <col min="5" max="5" width="16.0039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1.851562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45</v>
      </c>
    </row>
    <row r="4" spans="1:10" ht="15">
      <c r="A4" s="30" t="s">
        <v>8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77.25" customHeight="1">
      <c r="A5" s="33" t="s">
        <v>0</v>
      </c>
      <c r="B5" s="35" t="s">
        <v>1</v>
      </c>
      <c r="C5" s="33" t="s">
        <v>2</v>
      </c>
      <c r="D5" s="37" t="s">
        <v>7</v>
      </c>
      <c r="E5" s="38"/>
      <c r="F5" s="33" t="s">
        <v>11</v>
      </c>
      <c r="G5" s="33" t="s">
        <v>3</v>
      </c>
      <c r="H5" s="33" t="s">
        <v>4</v>
      </c>
      <c r="I5" s="33" t="s">
        <v>5</v>
      </c>
      <c r="J5" s="35" t="s">
        <v>6</v>
      </c>
    </row>
    <row r="6" spans="1:10" ht="15.75">
      <c r="A6" s="34"/>
      <c r="B6" s="36"/>
      <c r="C6" s="34"/>
      <c r="D6" s="10" t="s">
        <v>12</v>
      </c>
      <c r="E6" s="4" t="s">
        <v>13</v>
      </c>
      <c r="F6" s="34"/>
      <c r="G6" s="34"/>
      <c r="H6" s="34"/>
      <c r="I6" s="34"/>
      <c r="J6" s="36"/>
    </row>
    <row r="7" spans="1:12" ht="15">
      <c r="A7" s="22">
        <v>1</v>
      </c>
      <c r="B7" s="23" t="s">
        <v>31</v>
      </c>
      <c r="C7" s="22"/>
      <c r="D7" s="24"/>
      <c r="E7" s="25"/>
      <c r="F7" s="22">
        <f>23.38+0.28+0.28+1.13</f>
        <v>25.07</v>
      </c>
      <c r="G7" s="26">
        <f>G8*0.0478</f>
        <v>12.612986000000001</v>
      </c>
      <c r="H7" s="22">
        <f>0.28+0.28+1.13</f>
        <v>1.69</v>
      </c>
      <c r="I7" s="6">
        <f>8.715*0.0478</f>
        <v>0.41657700000000003</v>
      </c>
      <c r="J7" s="7">
        <f aca="true" t="shared" si="0" ref="J7:J19">I7/3522.3</f>
        <v>0.00011826846094881186</v>
      </c>
      <c r="L7" s="8"/>
    </row>
    <row r="8" spans="1:12" ht="15">
      <c r="A8" s="2">
        <v>2</v>
      </c>
      <c r="B8" s="3" t="s">
        <v>9</v>
      </c>
      <c r="C8" s="7"/>
      <c r="D8" s="5"/>
      <c r="E8" s="5"/>
      <c r="F8" s="7">
        <f>249+2.9+2.9+11.2</f>
        <v>266</v>
      </c>
      <c r="G8" s="6">
        <f>77.23+22.23+164.41</f>
        <v>263.87</v>
      </c>
      <c r="H8" s="6">
        <f>2.9+2.9+11.2</f>
        <v>17</v>
      </c>
      <c r="I8" s="6">
        <f>F8-G8-H8</f>
        <v>-14.870000000000005</v>
      </c>
      <c r="J8" s="7">
        <f t="shared" si="0"/>
        <v>-0.004221673338443632</v>
      </c>
      <c r="L8" s="8"/>
    </row>
    <row r="9" spans="1:12" ht="15">
      <c r="A9" s="2">
        <v>3</v>
      </c>
      <c r="B9" s="3" t="s">
        <v>29</v>
      </c>
      <c r="C9" s="6" t="s">
        <v>46</v>
      </c>
      <c r="D9" s="5"/>
      <c r="E9" s="5"/>
      <c r="F9" s="6">
        <f>405.973</f>
        <v>405.973</v>
      </c>
      <c r="G9" s="6">
        <f>198.85+111.84+20.84</f>
        <v>331.53</v>
      </c>
      <c r="H9" s="6">
        <v>0</v>
      </c>
      <c r="I9" s="6">
        <v>8.715</v>
      </c>
      <c r="J9" s="7">
        <f t="shared" si="0"/>
        <v>0.002474235584703177</v>
      </c>
      <c r="L9" s="8"/>
    </row>
    <row r="10" spans="1:10" ht="15">
      <c r="A10" s="2">
        <v>4</v>
      </c>
      <c r="B10" s="3" t="s">
        <v>10</v>
      </c>
      <c r="C10" s="6"/>
      <c r="D10" s="5"/>
      <c r="E10" s="5"/>
      <c r="F10" s="6">
        <f>F8+F9</f>
        <v>671.973</v>
      </c>
      <c r="G10" s="6">
        <f>363.26+195.15+36.99</f>
        <v>595.4</v>
      </c>
      <c r="H10" s="6">
        <f>H8+H9</f>
        <v>17</v>
      </c>
      <c r="I10" s="6">
        <v>0</v>
      </c>
      <c r="J10" s="7">
        <f t="shared" si="0"/>
        <v>0</v>
      </c>
    </row>
    <row r="11" spans="1:10" ht="15">
      <c r="A11" s="39">
        <v>5</v>
      </c>
      <c r="B11" s="3" t="s">
        <v>15</v>
      </c>
      <c r="C11" s="6"/>
      <c r="D11" s="11">
        <v>3868</v>
      </c>
      <c r="E11" s="11">
        <v>3901</v>
      </c>
      <c r="F11" s="21">
        <f>(E11-D11)*10</f>
        <v>330</v>
      </c>
      <c r="G11" s="6">
        <v>0</v>
      </c>
      <c r="H11" s="6">
        <v>0</v>
      </c>
      <c r="I11" s="6">
        <f aca="true" t="shared" si="1" ref="I11:I16">F11-G11-H11</f>
        <v>330</v>
      </c>
      <c r="J11" s="7">
        <f t="shared" si="0"/>
        <v>0.09368878289753854</v>
      </c>
    </row>
    <row r="12" spans="1:10" ht="15">
      <c r="A12" s="40"/>
      <c r="B12" s="3" t="s">
        <v>16</v>
      </c>
      <c r="C12" s="6"/>
      <c r="D12" s="11">
        <v>4744</v>
      </c>
      <c r="E12" s="11">
        <v>4783</v>
      </c>
      <c r="F12" s="21">
        <f>(E12-D12)*10</f>
        <v>390</v>
      </c>
      <c r="G12" s="6">
        <v>0</v>
      </c>
      <c r="H12" s="6">
        <v>0</v>
      </c>
      <c r="I12" s="6">
        <f t="shared" si="1"/>
        <v>390</v>
      </c>
      <c r="J12" s="7">
        <f t="shared" si="0"/>
        <v>0.11072310706072735</v>
      </c>
    </row>
    <row r="13" spans="1:10" ht="15">
      <c r="A13" s="40"/>
      <c r="B13" s="3" t="s">
        <v>17</v>
      </c>
      <c r="C13" s="6"/>
      <c r="D13" s="11">
        <v>40330</v>
      </c>
      <c r="E13" s="11">
        <v>40540</v>
      </c>
      <c r="F13" s="21">
        <f>(E13-D13)*1</f>
        <v>210</v>
      </c>
      <c r="G13" s="6">
        <v>0</v>
      </c>
      <c r="H13" s="6">
        <v>0</v>
      </c>
      <c r="I13" s="6">
        <f t="shared" si="1"/>
        <v>210</v>
      </c>
      <c r="J13" s="7">
        <f t="shared" si="0"/>
        <v>0.05962013457116089</v>
      </c>
    </row>
    <row r="14" spans="1:10" ht="15">
      <c r="A14" s="40"/>
      <c r="B14" s="3" t="s">
        <v>18</v>
      </c>
      <c r="C14" s="6"/>
      <c r="D14" s="11">
        <v>25020</v>
      </c>
      <c r="E14" s="11">
        <v>25290</v>
      </c>
      <c r="F14" s="21">
        <f>(E14-D14)*1</f>
        <v>270</v>
      </c>
      <c r="G14" s="6">
        <v>0</v>
      </c>
      <c r="H14" s="6">
        <v>0</v>
      </c>
      <c r="I14" s="6">
        <f t="shared" si="1"/>
        <v>270</v>
      </c>
      <c r="J14" s="7">
        <f t="shared" si="0"/>
        <v>0.07665445873434971</v>
      </c>
    </row>
    <row r="15" spans="1:10" ht="15">
      <c r="A15" s="41"/>
      <c r="B15" s="3" t="s">
        <v>19</v>
      </c>
      <c r="C15" s="13"/>
      <c r="D15" s="11">
        <v>6855</v>
      </c>
      <c r="E15" s="14">
        <v>7291</v>
      </c>
      <c r="F15" s="7">
        <f>(E15-D15)*1</f>
        <v>436</v>
      </c>
      <c r="G15" s="6">
        <v>0</v>
      </c>
      <c r="H15" s="13">
        <v>0</v>
      </c>
      <c r="I15" s="6">
        <f t="shared" si="1"/>
        <v>436</v>
      </c>
      <c r="J15" s="7">
        <f t="shared" si="0"/>
        <v>0.12378275558583879</v>
      </c>
    </row>
    <row r="16" spans="1:10" ht="15">
      <c r="A16" s="41"/>
      <c r="B16" s="3" t="s">
        <v>20</v>
      </c>
      <c r="C16" s="13"/>
      <c r="D16" s="11">
        <v>9080</v>
      </c>
      <c r="E16" s="14">
        <v>9595</v>
      </c>
      <c r="F16" s="7">
        <f>(E16-D16)*1</f>
        <v>515</v>
      </c>
      <c r="G16" s="13">
        <v>0</v>
      </c>
      <c r="H16" s="13">
        <v>0</v>
      </c>
      <c r="I16" s="13">
        <f t="shared" si="1"/>
        <v>515</v>
      </c>
      <c r="J16" s="7">
        <f t="shared" si="0"/>
        <v>0.14621128240070408</v>
      </c>
    </row>
    <row r="17" spans="1:12" ht="15">
      <c r="A17" s="42"/>
      <c r="B17" s="15" t="s">
        <v>14</v>
      </c>
      <c r="C17" s="15"/>
      <c r="D17" s="16"/>
      <c r="E17" s="15"/>
      <c r="F17" s="17">
        <f>SUM(F11:F16)</f>
        <v>2151</v>
      </c>
      <c r="G17" s="17">
        <f>SUM(G11:G16)</f>
        <v>0</v>
      </c>
      <c r="H17" s="17">
        <f>SUM(H11:H16)</f>
        <v>0</v>
      </c>
      <c r="I17" s="17">
        <f>SUM(I11:I16)</f>
        <v>2151</v>
      </c>
      <c r="J17" s="7">
        <f t="shared" si="0"/>
        <v>0.6106805212503194</v>
      </c>
      <c r="L17" s="8"/>
    </row>
    <row r="18" spans="1:12" ht="15">
      <c r="A18" s="1"/>
      <c r="B18" s="1"/>
      <c r="C18" s="1"/>
      <c r="D18" s="1"/>
      <c r="E18" s="1" t="s">
        <v>21</v>
      </c>
      <c r="F18" s="19">
        <f aca="true" t="shared" si="2" ref="F18:I19">F11+F13+F15</f>
        <v>976</v>
      </c>
      <c r="G18" s="19">
        <f t="shared" si="2"/>
        <v>0</v>
      </c>
      <c r="H18" s="19">
        <f t="shared" si="2"/>
        <v>0</v>
      </c>
      <c r="I18" s="19">
        <f t="shared" si="2"/>
        <v>976</v>
      </c>
      <c r="J18" s="7">
        <f t="shared" si="0"/>
        <v>0.2770916730545382</v>
      </c>
      <c r="K18" s="20"/>
      <c r="L18" s="8"/>
    </row>
    <row r="19" spans="1:10" ht="15">
      <c r="A19" s="1"/>
      <c r="B19" s="1"/>
      <c r="C19" s="27"/>
      <c r="D19" s="1"/>
      <c r="E19" s="1" t="s">
        <v>22</v>
      </c>
      <c r="F19" s="18">
        <f t="shared" si="2"/>
        <v>1175</v>
      </c>
      <c r="G19" s="18">
        <f t="shared" si="2"/>
        <v>0</v>
      </c>
      <c r="H19" s="18">
        <f t="shared" si="2"/>
        <v>0</v>
      </c>
      <c r="I19" s="18">
        <f t="shared" si="2"/>
        <v>1175</v>
      </c>
      <c r="J19" s="7">
        <f t="shared" si="0"/>
        <v>0.33358884819578116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</sheetData>
  <sheetProtection/>
  <mergeCells count="11"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21"/>
  <sheetViews>
    <sheetView tabSelected="1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4" sqref="A4:J4"/>
    </sheetView>
  </sheetViews>
  <sheetFormatPr defaultColWidth="9.140625" defaultRowHeight="15"/>
  <cols>
    <col min="1" max="1" width="5.28125" style="0" customWidth="1"/>
    <col min="2" max="2" width="23.8515625" style="0" customWidth="1"/>
    <col min="3" max="3" width="18.7109375" style="0" customWidth="1"/>
    <col min="4" max="4" width="15.8515625" style="0" customWidth="1"/>
    <col min="5" max="5" width="16.0039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1.851562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48</v>
      </c>
    </row>
    <row r="4" spans="1:10" ht="15">
      <c r="A4" s="30" t="s">
        <v>8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77.25" customHeight="1">
      <c r="A5" s="33" t="s">
        <v>0</v>
      </c>
      <c r="B5" s="35" t="s">
        <v>1</v>
      </c>
      <c r="C5" s="33" t="s">
        <v>2</v>
      </c>
      <c r="D5" s="37" t="s">
        <v>7</v>
      </c>
      <c r="E5" s="38"/>
      <c r="F5" s="33" t="s">
        <v>11</v>
      </c>
      <c r="G5" s="33" t="s">
        <v>3</v>
      </c>
      <c r="H5" s="33" t="s">
        <v>4</v>
      </c>
      <c r="I5" s="33" t="s">
        <v>5</v>
      </c>
      <c r="J5" s="35" t="s">
        <v>6</v>
      </c>
    </row>
    <row r="6" spans="1:10" ht="15.75">
      <c r="A6" s="34"/>
      <c r="B6" s="36"/>
      <c r="C6" s="34"/>
      <c r="D6" s="10" t="s">
        <v>12</v>
      </c>
      <c r="E6" s="4" t="s">
        <v>13</v>
      </c>
      <c r="F6" s="34"/>
      <c r="G6" s="34"/>
      <c r="H6" s="34"/>
      <c r="I6" s="34"/>
      <c r="J6" s="36"/>
    </row>
    <row r="7" spans="1:12" ht="15">
      <c r="A7" s="22">
        <v>1</v>
      </c>
      <c r="B7" s="23" t="s">
        <v>31</v>
      </c>
      <c r="C7" s="22"/>
      <c r="D7" s="24"/>
      <c r="E7" s="25"/>
      <c r="F7" s="22">
        <f>24.53+0.3+0.3+1.19</f>
        <v>26.320000000000004</v>
      </c>
      <c r="G7" s="26">
        <f>G8*0.0478</f>
        <v>9.911951400000001</v>
      </c>
      <c r="H7" s="26">
        <f>0.3+0.3+1.19</f>
        <v>1.79</v>
      </c>
      <c r="I7" s="26">
        <f>I8*0.0478</f>
        <v>0.41657700000000003</v>
      </c>
      <c r="J7" s="7">
        <f aca="true" t="shared" si="0" ref="J7:J19">I7/3522.3</f>
        <v>0.00011826846094881186</v>
      </c>
      <c r="L7" s="8"/>
    </row>
    <row r="8" spans="1:12" ht="15">
      <c r="A8" s="2">
        <v>2</v>
      </c>
      <c r="B8" s="3" t="s">
        <v>9</v>
      </c>
      <c r="C8" s="7"/>
      <c r="D8" s="5"/>
      <c r="E8" s="5"/>
      <c r="F8" s="7">
        <f>270.05+3.15+3.15+12.15</f>
        <v>288.49999999999994</v>
      </c>
      <c r="G8" s="6">
        <f>164.41+42.363+0.59</f>
        <v>207.363</v>
      </c>
      <c r="H8" s="6">
        <f>3.15+3.15+12.15</f>
        <v>18.45</v>
      </c>
      <c r="I8" s="6">
        <v>8.715</v>
      </c>
      <c r="J8" s="7">
        <f t="shared" si="0"/>
        <v>0.002474235584703177</v>
      </c>
      <c r="L8" s="8"/>
    </row>
    <row r="9" spans="1:12" ht="15">
      <c r="A9" s="2">
        <v>3</v>
      </c>
      <c r="B9" s="3" t="s">
        <v>29</v>
      </c>
      <c r="C9" s="6" t="s">
        <v>47</v>
      </c>
      <c r="D9" s="5"/>
      <c r="E9" s="5"/>
      <c r="F9" s="6">
        <v>434.053</v>
      </c>
      <c r="G9" s="6">
        <f>198.85+117.69+24.82</f>
        <v>341.35999999999996</v>
      </c>
      <c r="H9" s="6">
        <v>0</v>
      </c>
      <c r="I9" s="6">
        <v>8.715</v>
      </c>
      <c r="J9" s="7">
        <f t="shared" si="0"/>
        <v>0.002474235584703177</v>
      </c>
      <c r="L9" s="8"/>
    </row>
    <row r="10" spans="1:10" ht="15">
      <c r="A10" s="2">
        <v>4</v>
      </c>
      <c r="B10" s="3" t="s">
        <v>10</v>
      </c>
      <c r="C10" s="6"/>
      <c r="D10" s="5"/>
      <c r="E10" s="5"/>
      <c r="F10" s="6">
        <f>F8+F9</f>
        <v>722.5529999999999</v>
      </c>
      <c r="G10" s="6">
        <f>363.26+172.373+13.09</f>
        <v>548.7230000000001</v>
      </c>
      <c r="H10" s="6">
        <f>H8+H9</f>
        <v>18.45</v>
      </c>
      <c r="I10" s="6">
        <v>0</v>
      </c>
      <c r="J10" s="7">
        <f t="shared" si="0"/>
        <v>0</v>
      </c>
    </row>
    <row r="11" spans="1:10" ht="15">
      <c r="A11" s="39">
        <v>5</v>
      </c>
      <c r="B11" s="3" t="s">
        <v>15</v>
      </c>
      <c r="C11" s="6"/>
      <c r="D11" s="11">
        <v>3901</v>
      </c>
      <c r="E11" s="11">
        <v>3921</v>
      </c>
      <c r="F11" s="21">
        <f>(E11-D11)*10</f>
        <v>200</v>
      </c>
      <c r="G11" s="6">
        <v>0</v>
      </c>
      <c r="H11" s="6">
        <v>0</v>
      </c>
      <c r="I11" s="6">
        <f aca="true" t="shared" si="1" ref="I11:I16">F11-G11-H11</f>
        <v>200</v>
      </c>
      <c r="J11" s="7">
        <f t="shared" si="0"/>
        <v>0.05678108054396275</v>
      </c>
    </row>
    <row r="12" spans="1:10" ht="15">
      <c r="A12" s="40"/>
      <c r="B12" s="3" t="s">
        <v>16</v>
      </c>
      <c r="C12" s="6"/>
      <c r="D12" s="11">
        <v>4783</v>
      </c>
      <c r="E12" s="11">
        <v>4806</v>
      </c>
      <c r="F12" s="21">
        <f>(E12-D12)*10</f>
        <v>230</v>
      </c>
      <c r="G12" s="6">
        <v>0</v>
      </c>
      <c r="H12" s="6">
        <v>0</v>
      </c>
      <c r="I12" s="6">
        <f t="shared" si="1"/>
        <v>230</v>
      </c>
      <c r="J12" s="7">
        <f t="shared" si="0"/>
        <v>0.06529824262555715</v>
      </c>
    </row>
    <row r="13" spans="1:10" ht="15">
      <c r="A13" s="40"/>
      <c r="B13" s="3" t="s">
        <v>17</v>
      </c>
      <c r="C13" s="6"/>
      <c r="D13" s="11">
        <v>40540</v>
      </c>
      <c r="E13" s="11">
        <v>40714</v>
      </c>
      <c r="F13" s="21">
        <f>(E13-D13)*1</f>
        <v>174</v>
      </c>
      <c r="G13" s="6">
        <v>0</v>
      </c>
      <c r="H13" s="6">
        <v>0</v>
      </c>
      <c r="I13" s="6">
        <f t="shared" si="1"/>
        <v>174</v>
      </c>
      <c r="J13" s="7">
        <f t="shared" si="0"/>
        <v>0.049399540073247594</v>
      </c>
    </row>
    <row r="14" spans="1:10" ht="15">
      <c r="A14" s="40"/>
      <c r="B14" s="3" t="s">
        <v>18</v>
      </c>
      <c r="C14" s="6"/>
      <c r="D14" s="11">
        <v>25290</v>
      </c>
      <c r="E14" s="11">
        <v>25512</v>
      </c>
      <c r="F14" s="21">
        <f>(E14-D14)*1</f>
        <v>222</v>
      </c>
      <c r="G14" s="6">
        <v>0</v>
      </c>
      <c r="H14" s="6">
        <v>0</v>
      </c>
      <c r="I14" s="6">
        <f t="shared" si="1"/>
        <v>222</v>
      </c>
      <c r="J14" s="7">
        <f t="shared" si="0"/>
        <v>0.06302699940379865</v>
      </c>
    </row>
    <row r="15" spans="1:10" ht="15">
      <c r="A15" s="41"/>
      <c r="B15" s="3" t="s">
        <v>19</v>
      </c>
      <c r="C15" s="13"/>
      <c r="D15" s="11">
        <v>7291</v>
      </c>
      <c r="E15" s="14">
        <v>7765</v>
      </c>
      <c r="F15" s="7">
        <f>(E15-D15)*1</f>
        <v>474</v>
      </c>
      <c r="G15" s="6">
        <v>0</v>
      </c>
      <c r="H15" s="13">
        <v>0</v>
      </c>
      <c r="I15" s="6">
        <f t="shared" si="1"/>
        <v>474</v>
      </c>
      <c r="J15" s="7">
        <f t="shared" si="0"/>
        <v>0.13457116088919172</v>
      </c>
    </row>
    <row r="16" spans="1:10" ht="15">
      <c r="A16" s="41"/>
      <c r="B16" s="3" t="s">
        <v>20</v>
      </c>
      <c r="C16" s="13"/>
      <c r="D16" s="11">
        <v>9595</v>
      </c>
      <c r="E16" s="14">
        <v>10123</v>
      </c>
      <c r="F16" s="7">
        <f>(E16-D16)*1</f>
        <v>528</v>
      </c>
      <c r="G16" s="13">
        <v>0</v>
      </c>
      <c r="H16" s="13">
        <v>0</v>
      </c>
      <c r="I16" s="13">
        <f t="shared" si="1"/>
        <v>528</v>
      </c>
      <c r="J16" s="7">
        <f t="shared" si="0"/>
        <v>0.14990205263606166</v>
      </c>
    </row>
    <row r="17" spans="1:12" ht="15">
      <c r="A17" s="42"/>
      <c r="B17" s="15" t="s">
        <v>14</v>
      </c>
      <c r="C17" s="15"/>
      <c r="D17" s="16"/>
      <c r="E17" s="15"/>
      <c r="F17" s="17">
        <f>SUM(F11:F16)</f>
        <v>1828</v>
      </c>
      <c r="G17" s="17">
        <f>SUM(G11:G16)</f>
        <v>0</v>
      </c>
      <c r="H17" s="17">
        <f>SUM(H11:H16)</f>
        <v>0</v>
      </c>
      <c r="I17" s="17">
        <f>SUM(I11:I16)</f>
        <v>1828</v>
      </c>
      <c r="J17" s="7">
        <f t="shared" si="0"/>
        <v>0.5189790761718195</v>
      </c>
      <c r="L17" s="8"/>
    </row>
    <row r="18" spans="1:12" ht="15">
      <c r="A18" s="1"/>
      <c r="B18" s="1"/>
      <c r="C18" s="1"/>
      <c r="D18" s="1"/>
      <c r="E18" s="1" t="s">
        <v>21</v>
      </c>
      <c r="F18" s="19">
        <f aca="true" t="shared" si="2" ref="F18:I19">F11+F13+F15</f>
        <v>848</v>
      </c>
      <c r="G18" s="19">
        <f t="shared" si="2"/>
        <v>0</v>
      </c>
      <c r="H18" s="19">
        <f t="shared" si="2"/>
        <v>0</v>
      </c>
      <c r="I18" s="19">
        <f t="shared" si="2"/>
        <v>848</v>
      </c>
      <c r="J18" s="7">
        <f t="shared" si="0"/>
        <v>0.24075178150640206</v>
      </c>
      <c r="K18" s="20"/>
      <c r="L18" s="8"/>
    </row>
    <row r="19" spans="1:10" ht="15">
      <c r="A19" s="1"/>
      <c r="B19" s="1"/>
      <c r="C19" s="27"/>
      <c r="D19" s="1"/>
      <c r="E19" s="1" t="s">
        <v>22</v>
      </c>
      <c r="F19" s="18">
        <f t="shared" si="2"/>
        <v>980</v>
      </c>
      <c r="G19" s="18">
        <f t="shared" si="2"/>
        <v>0</v>
      </c>
      <c r="H19" s="18">
        <f t="shared" si="2"/>
        <v>0</v>
      </c>
      <c r="I19" s="18">
        <f t="shared" si="2"/>
        <v>980</v>
      </c>
      <c r="J19" s="7">
        <f t="shared" si="0"/>
        <v>0.27822729466541746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</sheetData>
  <sheetProtection/>
  <mergeCells count="11"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8" sqref="B8"/>
    </sheetView>
  </sheetViews>
  <sheetFormatPr defaultColWidth="9.140625" defaultRowHeight="15"/>
  <cols>
    <col min="1" max="1" width="5.28125" style="0" customWidth="1"/>
    <col min="2" max="2" width="23.8515625" style="0" customWidth="1"/>
    <col min="3" max="3" width="18.7109375" style="0" customWidth="1"/>
    <col min="4" max="4" width="15.8515625" style="0" customWidth="1"/>
    <col min="5" max="5" width="16.0039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1.851562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25</v>
      </c>
    </row>
    <row r="4" spans="1:10" ht="15">
      <c r="A4" s="30" t="s">
        <v>8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77.25" customHeight="1">
      <c r="A5" s="33" t="s">
        <v>0</v>
      </c>
      <c r="B5" s="35" t="s">
        <v>1</v>
      </c>
      <c r="C5" s="33" t="s">
        <v>2</v>
      </c>
      <c r="D5" s="37" t="s">
        <v>7</v>
      </c>
      <c r="E5" s="38"/>
      <c r="F5" s="33" t="s">
        <v>11</v>
      </c>
      <c r="G5" s="33" t="s">
        <v>3</v>
      </c>
      <c r="H5" s="33" t="s">
        <v>4</v>
      </c>
      <c r="I5" s="33" t="s">
        <v>5</v>
      </c>
      <c r="J5" s="35" t="s">
        <v>6</v>
      </c>
    </row>
    <row r="6" spans="1:10" ht="15.75">
      <c r="A6" s="34"/>
      <c r="B6" s="36"/>
      <c r="C6" s="34"/>
      <c r="D6" s="10" t="s">
        <v>12</v>
      </c>
      <c r="E6" s="4" t="s">
        <v>13</v>
      </c>
      <c r="F6" s="34"/>
      <c r="G6" s="34"/>
      <c r="H6" s="34"/>
      <c r="I6" s="34"/>
      <c r="J6" s="36"/>
    </row>
    <row r="7" spans="1:12" ht="15">
      <c r="A7" s="2">
        <v>1</v>
      </c>
      <c r="B7" s="3" t="s">
        <v>9</v>
      </c>
      <c r="C7" s="7"/>
      <c r="D7" s="5"/>
      <c r="E7" s="5"/>
      <c r="F7" s="7">
        <f>256.48+2.99+2.99+11.54</f>
        <v>274.00000000000006</v>
      </c>
      <c r="G7" s="6">
        <f>184.8481+25.23</f>
        <v>210.07809999999998</v>
      </c>
      <c r="H7" s="6">
        <f>2.99+2.99+11.54</f>
        <v>17.52</v>
      </c>
      <c r="I7" s="6">
        <f aca="true" t="shared" si="0" ref="I7:I15">F7-G7-H7</f>
        <v>46.40190000000008</v>
      </c>
      <c r="J7" s="7">
        <f aca="true" t="shared" si="1" ref="J7:J18">I7/3522.3</f>
        <v>0.013173750106464549</v>
      </c>
      <c r="L7" s="8"/>
    </row>
    <row r="8" spans="1:12" ht="15">
      <c r="A8" s="2">
        <v>2</v>
      </c>
      <c r="B8" s="3" t="s">
        <v>29</v>
      </c>
      <c r="C8" s="6" t="s">
        <v>26</v>
      </c>
      <c r="D8" s="5"/>
      <c r="E8" s="5"/>
      <c r="F8" s="6">
        <v>434.19</v>
      </c>
      <c r="G8" s="6">
        <f>223.5694+50.6+7.2</f>
        <v>281.3694</v>
      </c>
      <c r="H8" s="6">
        <v>0</v>
      </c>
      <c r="I8" s="6">
        <f t="shared" si="0"/>
        <v>152.8206</v>
      </c>
      <c r="J8" s="7">
        <f t="shared" si="1"/>
        <v>0.04338659398688357</v>
      </c>
      <c r="L8" s="8"/>
    </row>
    <row r="9" spans="1:12" ht="15">
      <c r="A9" s="2">
        <v>3</v>
      </c>
      <c r="B9" s="3" t="s">
        <v>10</v>
      </c>
      <c r="C9" s="6"/>
      <c r="D9" s="5"/>
      <c r="E9" s="5"/>
      <c r="F9" s="6">
        <f>F7+F8</f>
        <v>708.19</v>
      </c>
      <c r="G9" s="6">
        <f>408.4174+76.82+6.21</f>
        <v>491.44739999999996</v>
      </c>
      <c r="H9" s="6">
        <f>H7+H8</f>
        <v>17.52</v>
      </c>
      <c r="I9" s="6">
        <f t="shared" si="0"/>
        <v>199.22260000000009</v>
      </c>
      <c r="J9" s="7">
        <f t="shared" si="1"/>
        <v>0.05656037248388839</v>
      </c>
      <c r="L9" s="8"/>
    </row>
    <row r="10" spans="1:10" ht="15">
      <c r="A10" s="39">
        <v>4</v>
      </c>
      <c r="B10" s="3" t="s">
        <v>15</v>
      </c>
      <c r="C10" s="6"/>
      <c r="D10" s="11">
        <v>3673</v>
      </c>
      <c r="E10" s="11">
        <v>3708</v>
      </c>
      <c r="F10" s="21">
        <f>(E10-D10)*10</f>
        <v>350</v>
      </c>
      <c r="G10" s="6">
        <v>0</v>
      </c>
      <c r="H10" s="6">
        <v>0</v>
      </c>
      <c r="I10" s="6">
        <f t="shared" si="0"/>
        <v>350</v>
      </c>
      <c r="J10" s="7">
        <f t="shared" si="1"/>
        <v>0.09936689095193481</v>
      </c>
    </row>
    <row r="11" spans="1:10" ht="15">
      <c r="A11" s="40"/>
      <c r="B11" s="3" t="s">
        <v>16</v>
      </c>
      <c r="C11" s="6"/>
      <c r="D11" s="11">
        <v>4494</v>
      </c>
      <c r="E11" s="11">
        <v>4534</v>
      </c>
      <c r="F11" s="21">
        <f>(E11-D11)*10</f>
        <v>400</v>
      </c>
      <c r="G11" s="6">
        <v>0</v>
      </c>
      <c r="H11" s="6">
        <v>0</v>
      </c>
      <c r="I11" s="6">
        <f t="shared" si="0"/>
        <v>400</v>
      </c>
      <c r="J11" s="7">
        <f t="shared" si="1"/>
        <v>0.1135621610879255</v>
      </c>
    </row>
    <row r="12" spans="1:10" ht="15">
      <c r="A12" s="40"/>
      <c r="B12" s="3" t="s">
        <v>17</v>
      </c>
      <c r="C12" s="6"/>
      <c r="D12" s="11">
        <v>37710</v>
      </c>
      <c r="E12" s="11">
        <v>38042</v>
      </c>
      <c r="F12" s="21">
        <f>(E12-D12)*1</f>
        <v>332</v>
      </c>
      <c r="G12" s="6">
        <v>0</v>
      </c>
      <c r="H12" s="6">
        <v>0</v>
      </c>
      <c r="I12" s="6">
        <f t="shared" si="0"/>
        <v>332</v>
      </c>
      <c r="J12" s="7">
        <f t="shared" si="1"/>
        <v>0.09425659370297816</v>
      </c>
    </row>
    <row r="13" spans="1:10" ht="15">
      <c r="A13" s="40"/>
      <c r="B13" s="3" t="s">
        <v>18</v>
      </c>
      <c r="C13" s="6"/>
      <c r="D13" s="11">
        <v>22960</v>
      </c>
      <c r="E13" s="11">
        <v>23190</v>
      </c>
      <c r="F13" s="21">
        <f>(E13-D13)*1</f>
        <v>230</v>
      </c>
      <c r="G13" s="6">
        <v>0</v>
      </c>
      <c r="H13" s="6">
        <v>0</v>
      </c>
      <c r="I13" s="6">
        <f t="shared" si="0"/>
        <v>230</v>
      </c>
      <c r="J13" s="7">
        <f t="shared" si="1"/>
        <v>0.06529824262555715</v>
      </c>
    </row>
    <row r="14" spans="1:10" ht="15">
      <c r="A14" s="12"/>
      <c r="B14" s="3" t="s">
        <v>19</v>
      </c>
      <c r="C14" s="13"/>
      <c r="D14" s="11">
        <v>2883</v>
      </c>
      <c r="E14" s="14">
        <v>3602</v>
      </c>
      <c r="F14" s="7">
        <f>(E14-D14)*1</f>
        <v>719</v>
      </c>
      <c r="G14" s="6">
        <v>0</v>
      </c>
      <c r="H14" s="13">
        <v>0</v>
      </c>
      <c r="I14" s="6">
        <f t="shared" si="0"/>
        <v>719</v>
      </c>
      <c r="J14" s="7">
        <f t="shared" si="1"/>
        <v>0.2041279845555461</v>
      </c>
    </row>
    <row r="15" spans="1:10" ht="15">
      <c r="A15" s="12"/>
      <c r="B15" s="3" t="s">
        <v>20</v>
      </c>
      <c r="C15" s="13"/>
      <c r="D15" s="11">
        <v>3740</v>
      </c>
      <c r="E15" s="14">
        <v>4560</v>
      </c>
      <c r="F15" s="7">
        <f>(E15-D15)*1</f>
        <v>820</v>
      </c>
      <c r="G15" s="13">
        <v>0</v>
      </c>
      <c r="H15" s="13">
        <v>0</v>
      </c>
      <c r="I15" s="13">
        <f t="shared" si="0"/>
        <v>820</v>
      </c>
      <c r="J15" s="7">
        <f t="shared" si="1"/>
        <v>0.23280243023024727</v>
      </c>
    </row>
    <row r="16" spans="1:10" ht="15">
      <c r="A16" s="15"/>
      <c r="B16" s="15" t="s">
        <v>14</v>
      </c>
      <c r="C16" s="15"/>
      <c r="D16" s="16"/>
      <c r="E16" s="15"/>
      <c r="F16" s="17">
        <f>SUM(F10:F15)</f>
        <v>2851</v>
      </c>
      <c r="G16" s="17">
        <f>SUM(G10:G15)</f>
        <v>0</v>
      </c>
      <c r="H16" s="17">
        <f>SUM(H10:H15)</f>
        <v>0</v>
      </c>
      <c r="I16" s="17">
        <f>SUM(I10:I15)</f>
        <v>2851</v>
      </c>
      <c r="J16" s="7">
        <f t="shared" si="1"/>
        <v>0.8094143031541889</v>
      </c>
    </row>
    <row r="17" spans="1:12" ht="15">
      <c r="A17" s="1"/>
      <c r="B17" s="1"/>
      <c r="C17" s="1"/>
      <c r="D17" s="1"/>
      <c r="E17" s="1" t="s">
        <v>21</v>
      </c>
      <c r="F17" s="19">
        <f aca="true" t="shared" si="2" ref="F17:I18">F10+F12+F14</f>
        <v>1401</v>
      </c>
      <c r="G17" s="19">
        <f t="shared" si="2"/>
        <v>0</v>
      </c>
      <c r="H17" s="19">
        <f t="shared" si="2"/>
        <v>0</v>
      </c>
      <c r="I17" s="19">
        <f t="shared" si="2"/>
        <v>1401</v>
      </c>
      <c r="J17" s="7">
        <f t="shared" si="1"/>
        <v>0.39775146921045906</v>
      </c>
      <c r="L17" s="8"/>
    </row>
    <row r="18" spans="1:12" ht="15">
      <c r="A18" s="1"/>
      <c r="B18" s="1"/>
      <c r="C18" s="1"/>
      <c r="D18" s="1"/>
      <c r="E18" s="1" t="s">
        <v>22</v>
      </c>
      <c r="F18" s="18">
        <f t="shared" si="2"/>
        <v>1450</v>
      </c>
      <c r="G18" s="18">
        <f t="shared" si="2"/>
        <v>0</v>
      </c>
      <c r="H18" s="18">
        <f t="shared" si="2"/>
        <v>0</v>
      </c>
      <c r="I18" s="18">
        <f t="shared" si="2"/>
        <v>1450</v>
      </c>
      <c r="J18" s="7">
        <f t="shared" si="1"/>
        <v>0.41166283394372993</v>
      </c>
      <c r="K18" s="20"/>
      <c r="L18" s="8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</sheetData>
  <sheetProtection/>
  <mergeCells count="11">
    <mergeCell ref="J5:J6"/>
    <mergeCell ref="A10:A13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J13" sqref="J13"/>
    </sheetView>
  </sheetViews>
  <sheetFormatPr defaultColWidth="9.140625" defaultRowHeight="15"/>
  <cols>
    <col min="1" max="1" width="5.28125" style="0" customWidth="1"/>
    <col min="2" max="2" width="23.8515625" style="0" customWidth="1"/>
    <col min="3" max="3" width="18.7109375" style="0" customWidth="1"/>
    <col min="4" max="4" width="15.8515625" style="0" customWidth="1"/>
    <col min="5" max="5" width="16.0039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1.851562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27</v>
      </c>
    </row>
    <row r="4" spans="1:10" ht="15">
      <c r="A4" s="30" t="s">
        <v>8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77.25" customHeight="1">
      <c r="A5" s="33" t="s">
        <v>0</v>
      </c>
      <c r="B5" s="35" t="s">
        <v>1</v>
      </c>
      <c r="C5" s="33" t="s">
        <v>2</v>
      </c>
      <c r="D5" s="37" t="s">
        <v>7</v>
      </c>
      <c r="E5" s="38"/>
      <c r="F5" s="33" t="s">
        <v>11</v>
      </c>
      <c r="G5" s="33" t="s">
        <v>3</v>
      </c>
      <c r="H5" s="33" t="s">
        <v>4</v>
      </c>
      <c r="I5" s="33" t="s">
        <v>5</v>
      </c>
      <c r="J5" s="35" t="s">
        <v>6</v>
      </c>
    </row>
    <row r="6" spans="1:10" ht="15.75">
      <c r="A6" s="34"/>
      <c r="B6" s="36"/>
      <c r="C6" s="34"/>
      <c r="D6" s="10" t="s">
        <v>12</v>
      </c>
      <c r="E6" s="4" t="s">
        <v>13</v>
      </c>
      <c r="F6" s="34"/>
      <c r="G6" s="34"/>
      <c r="H6" s="34"/>
      <c r="I6" s="34"/>
      <c r="J6" s="36"/>
    </row>
    <row r="7" spans="1:12" ht="15">
      <c r="A7" s="2">
        <v>1</v>
      </c>
      <c r="B7" s="3" t="s">
        <v>9</v>
      </c>
      <c r="C7" s="7"/>
      <c r="D7" s="5"/>
      <c r="E7" s="5"/>
      <c r="F7" s="7">
        <f>231+2.7+2.7+10.4</f>
        <v>246.79999999999998</v>
      </c>
      <c r="G7" s="6">
        <f>184.46+84.67+59.81</f>
        <v>328.94</v>
      </c>
      <c r="H7" s="6">
        <f>2.7+2.7+10.4</f>
        <v>15.8</v>
      </c>
      <c r="I7" s="6">
        <f aca="true" t="shared" si="0" ref="I7:I15">F7-G7-H7</f>
        <v>-97.94000000000001</v>
      </c>
      <c r="J7" s="7">
        <f aca="true" t="shared" si="1" ref="J7:J18">I7/3522.3</f>
        <v>-0.027805695142378562</v>
      </c>
      <c r="L7" s="8"/>
    </row>
    <row r="8" spans="1:12" ht="15">
      <c r="A8" s="2">
        <v>2</v>
      </c>
      <c r="B8" s="3" t="s">
        <v>29</v>
      </c>
      <c r="C8" s="6" t="s">
        <v>28</v>
      </c>
      <c r="D8" s="5"/>
      <c r="E8" s="5"/>
      <c r="F8" s="6">
        <v>409.106</v>
      </c>
      <c r="G8" s="6">
        <f>223.1+49.69+8.38</f>
        <v>281.16999999999996</v>
      </c>
      <c r="H8" s="6">
        <v>0</v>
      </c>
      <c r="I8" s="6">
        <f t="shared" si="0"/>
        <v>127.93600000000004</v>
      </c>
      <c r="J8" s="7">
        <f t="shared" si="1"/>
        <v>0.0363217216023621</v>
      </c>
      <c r="L8" s="8"/>
    </row>
    <row r="9" spans="1:12" ht="15">
      <c r="A9" s="2">
        <v>3</v>
      </c>
      <c r="B9" s="3" t="s">
        <v>10</v>
      </c>
      <c r="C9" s="6"/>
      <c r="D9" s="5"/>
      <c r="E9" s="5"/>
      <c r="F9" s="6">
        <f>F7+F8</f>
        <v>655.906</v>
      </c>
      <c r="G9" s="6">
        <f>407.56+195.94+6.61</f>
        <v>610.11</v>
      </c>
      <c r="H9" s="6">
        <f>H7+H8</f>
        <v>15.8</v>
      </c>
      <c r="I9" s="6">
        <f t="shared" si="0"/>
        <v>29.995999999999935</v>
      </c>
      <c r="J9" s="7">
        <f t="shared" si="1"/>
        <v>0.008516026459983514</v>
      </c>
      <c r="L9" s="8"/>
    </row>
    <row r="10" spans="1:10" ht="15">
      <c r="A10" s="39">
        <v>4</v>
      </c>
      <c r="B10" s="3" t="s">
        <v>15</v>
      </c>
      <c r="C10" s="6"/>
      <c r="D10" s="11">
        <v>3708</v>
      </c>
      <c r="E10" s="11">
        <v>3735</v>
      </c>
      <c r="F10" s="21">
        <f>(E10-D10)*10</f>
        <v>270</v>
      </c>
      <c r="G10" s="6">
        <v>0</v>
      </c>
      <c r="H10" s="6">
        <v>0</v>
      </c>
      <c r="I10" s="6">
        <f t="shared" si="0"/>
        <v>270</v>
      </c>
      <c r="J10" s="7">
        <f t="shared" si="1"/>
        <v>0.07665445873434971</v>
      </c>
    </row>
    <row r="11" spans="1:10" ht="15">
      <c r="A11" s="40"/>
      <c r="B11" s="3" t="s">
        <v>16</v>
      </c>
      <c r="C11" s="6"/>
      <c r="D11" s="11">
        <v>4534</v>
      </c>
      <c r="E11" s="11">
        <v>4568</v>
      </c>
      <c r="F11" s="21">
        <f>(E11-D11)*10</f>
        <v>340</v>
      </c>
      <c r="G11" s="6">
        <v>0</v>
      </c>
      <c r="H11" s="6">
        <v>0</v>
      </c>
      <c r="I11" s="6">
        <f t="shared" si="0"/>
        <v>340</v>
      </c>
      <c r="J11" s="7">
        <f t="shared" si="1"/>
        <v>0.09652783692473667</v>
      </c>
    </row>
    <row r="12" spans="1:10" ht="15">
      <c r="A12" s="40"/>
      <c r="B12" s="3" t="s">
        <v>17</v>
      </c>
      <c r="C12" s="6"/>
      <c r="D12" s="11">
        <v>38042</v>
      </c>
      <c r="E12" s="11">
        <v>38330</v>
      </c>
      <c r="F12" s="21">
        <f>(E12-D12)*1</f>
        <v>288</v>
      </c>
      <c r="G12" s="6">
        <v>0</v>
      </c>
      <c r="H12" s="6">
        <v>0</v>
      </c>
      <c r="I12" s="6">
        <f t="shared" si="0"/>
        <v>288</v>
      </c>
      <c r="J12" s="7">
        <f t="shared" si="1"/>
        <v>0.08176475598330636</v>
      </c>
    </row>
    <row r="13" spans="1:10" ht="15">
      <c r="A13" s="40"/>
      <c r="B13" s="3" t="s">
        <v>18</v>
      </c>
      <c r="C13" s="6"/>
      <c r="D13" s="11">
        <v>23190</v>
      </c>
      <c r="E13" s="11">
        <v>23410</v>
      </c>
      <c r="F13" s="21">
        <f>(E13-D13)*1</f>
        <v>220</v>
      </c>
      <c r="G13" s="6">
        <v>0</v>
      </c>
      <c r="H13" s="6">
        <v>0</v>
      </c>
      <c r="I13" s="6">
        <f t="shared" si="0"/>
        <v>220</v>
      </c>
      <c r="J13" s="7">
        <f t="shared" si="1"/>
        <v>0.06245918859835902</v>
      </c>
    </row>
    <row r="14" spans="1:10" ht="15">
      <c r="A14" s="12"/>
      <c r="B14" s="3" t="s">
        <v>19</v>
      </c>
      <c r="C14" s="13"/>
      <c r="D14" s="11">
        <v>3602</v>
      </c>
      <c r="E14" s="14">
        <v>4055</v>
      </c>
      <c r="F14" s="7">
        <f>(E14-D14)*1</f>
        <v>453</v>
      </c>
      <c r="G14" s="6">
        <v>0</v>
      </c>
      <c r="H14" s="13">
        <v>0</v>
      </c>
      <c r="I14" s="6">
        <f t="shared" si="0"/>
        <v>453</v>
      </c>
      <c r="J14" s="7">
        <f t="shared" si="1"/>
        <v>0.12860914743207563</v>
      </c>
    </row>
    <row r="15" spans="1:10" ht="15">
      <c r="A15" s="12"/>
      <c r="B15" s="3" t="s">
        <v>20</v>
      </c>
      <c r="C15" s="13"/>
      <c r="D15" s="11">
        <v>4560</v>
      </c>
      <c r="E15" s="14">
        <v>5136</v>
      </c>
      <c r="F15" s="7">
        <f>(E15-D15)*1</f>
        <v>576</v>
      </c>
      <c r="G15" s="13">
        <v>0</v>
      </c>
      <c r="H15" s="13">
        <v>0</v>
      </c>
      <c r="I15" s="13">
        <f t="shared" si="0"/>
        <v>576</v>
      </c>
      <c r="J15" s="7">
        <f t="shared" si="1"/>
        <v>0.16352951196661272</v>
      </c>
    </row>
    <row r="16" spans="1:10" ht="15">
      <c r="A16" s="15"/>
      <c r="B16" s="15" t="s">
        <v>14</v>
      </c>
      <c r="C16" s="15"/>
      <c r="D16" s="16"/>
      <c r="E16" s="15"/>
      <c r="F16" s="17">
        <f>SUM(F10:F15)</f>
        <v>2147</v>
      </c>
      <c r="G16" s="17">
        <f>SUM(G10:G15)</f>
        <v>0</v>
      </c>
      <c r="H16" s="17">
        <f>SUM(H10:H15)</f>
        <v>0</v>
      </c>
      <c r="I16" s="17">
        <f>SUM(I10:I15)</f>
        <v>2147</v>
      </c>
      <c r="J16" s="7">
        <f t="shared" si="1"/>
        <v>0.6095448996394401</v>
      </c>
    </row>
    <row r="17" spans="1:12" ht="15">
      <c r="A17" s="1"/>
      <c r="B17" s="1"/>
      <c r="C17" s="1"/>
      <c r="D17" s="1"/>
      <c r="E17" s="1" t="s">
        <v>21</v>
      </c>
      <c r="F17" s="19">
        <f aca="true" t="shared" si="2" ref="F17:I18">F10+F12+F14</f>
        <v>1011</v>
      </c>
      <c r="G17" s="19">
        <f t="shared" si="2"/>
        <v>0</v>
      </c>
      <c r="H17" s="19">
        <f t="shared" si="2"/>
        <v>0</v>
      </c>
      <c r="I17" s="19">
        <f t="shared" si="2"/>
        <v>1011</v>
      </c>
      <c r="J17" s="7">
        <f t="shared" si="1"/>
        <v>0.2870283621497317</v>
      </c>
      <c r="L17" s="8"/>
    </row>
    <row r="18" spans="1:12" ht="15">
      <c r="A18" s="1"/>
      <c r="B18" s="1"/>
      <c r="C18" s="1"/>
      <c r="D18" s="1"/>
      <c r="E18" s="1" t="s">
        <v>22</v>
      </c>
      <c r="F18" s="18">
        <f t="shared" si="2"/>
        <v>1136</v>
      </c>
      <c r="G18" s="18">
        <f t="shared" si="2"/>
        <v>0</v>
      </c>
      <c r="H18" s="18">
        <f t="shared" si="2"/>
        <v>0</v>
      </c>
      <c r="I18" s="18">
        <f t="shared" si="2"/>
        <v>1136</v>
      </c>
      <c r="J18" s="7">
        <f t="shared" si="1"/>
        <v>0.32251653748970843</v>
      </c>
      <c r="K18" s="20"/>
      <c r="L18" s="8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</sheetData>
  <sheetProtection/>
  <mergeCells count="11">
    <mergeCell ref="I5:I6"/>
    <mergeCell ref="J5:J6"/>
    <mergeCell ref="A10:A13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28125" style="0" customWidth="1"/>
    <col min="2" max="2" width="23.8515625" style="0" customWidth="1"/>
    <col min="3" max="3" width="18.7109375" style="0" customWidth="1"/>
    <col min="4" max="4" width="15.8515625" style="0" customWidth="1"/>
    <col min="5" max="5" width="16.0039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1.851562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30</v>
      </c>
    </row>
    <row r="4" spans="1:10" ht="15">
      <c r="A4" s="30" t="s">
        <v>8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77.25" customHeight="1">
      <c r="A5" s="33" t="s">
        <v>0</v>
      </c>
      <c r="B5" s="35" t="s">
        <v>1</v>
      </c>
      <c r="C5" s="33" t="s">
        <v>2</v>
      </c>
      <c r="D5" s="37" t="s">
        <v>7</v>
      </c>
      <c r="E5" s="38"/>
      <c r="F5" s="33" t="s">
        <v>11</v>
      </c>
      <c r="G5" s="33" t="s">
        <v>3</v>
      </c>
      <c r="H5" s="33" t="s">
        <v>4</v>
      </c>
      <c r="I5" s="33" t="s">
        <v>5</v>
      </c>
      <c r="J5" s="35" t="s">
        <v>6</v>
      </c>
    </row>
    <row r="6" spans="1:10" ht="15.75">
      <c r="A6" s="34"/>
      <c r="B6" s="36"/>
      <c r="C6" s="34"/>
      <c r="D6" s="10" t="s">
        <v>12</v>
      </c>
      <c r="E6" s="4" t="s">
        <v>13</v>
      </c>
      <c r="F6" s="34"/>
      <c r="G6" s="34"/>
      <c r="H6" s="34"/>
      <c r="I6" s="34"/>
      <c r="J6" s="36"/>
    </row>
    <row r="7" spans="1:12" ht="15">
      <c r="A7" s="22">
        <v>1</v>
      </c>
      <c r="B7" s="23" t="s">
        <v>31</v>
      </c>
      <c r="C7" s="22"/>
      <c r="D7" s="24"/>
      <c r="E7" s="25"/>
      <c r="F7" s="22">
        <f>22.26+0.27+0.27+1.08</f>
        <v>23.880000000000003</v>
      </c>
      <c r="G7" s="26">
        <f>274.6*0.1917/4.01</f>
        <v>13.127386533665838</v>
      </c>
      <c r="H7" s="22">
        <f>0.27+0.27+1.08</f>
        <v>1.62</v>
      </c>
      <c r="I7" s="6">
        <f>F7-G7-H7</f>
        <v>9.132613466334163</v>
      </c>
      <c r="J7" s="7">
        <f aca="true" t="shared" si="0" ref="J7:J19">I7/3522.3</f>
        <v>0.0025927983040439947</v>
      </c>
      <c r="L7" s="8"/>
    </row>
    <row r="8" spans="1:12" ht="15">
      <c r="A8" s="2">
        <v>2</v>
      </c>
      <c r="B8" s="3" t="s">
        <v>9</v>
      </c>
      <c r="C8" s="7"/>
      <c r="D8" s="5"/>
      <c r="E8" s="5"/>
      <c r="F8" s="7">
        <f>291.99+3.55+3.55+13.71</f>
        <v>312.8</v>
      </c>
      <c r="G8" s="6">
        <f>192.48+73.98+8.14</f>
        <v>274.59999999999997</v>
      </c>
      <c r="H8" s="6">
        <f>3.55+3.55+13.71</f>
        <v>20.810000000000002</v>
      </c>
      <c r="I8" s="6">
        <f aca="true" t="shared" si="1" ref="I8:I16">F8-G8-H8</f>
        <v>17.390000000000043</v>
      </c>
      <c r="J8" s="7">
        <f t="shared" si="0"/>
        <v>0.004937114953297573</v>
      </c>
      <c r="L8" s="8"/>
    </row>
    <row r="9" spans="1:12" ht="15">
      <c r="A9" s="2">
        <v>3</v>
      </c>
      <c r="B9" s="3" t="s">
        <v>29</v>
      </c>
      <c r="C9" s="6" t="s">
        <v>32</v>
      </c>
      <c r="D9" s="5"/>
      <c r="E9" s="5"/>
      <c r="F9" s="6">
        <v>443.876</v>
      </c>
      <c r="G9" s="6">
        <f>232.8+100.03+15.98</f>
        <v>348.81000000000006</v>
      </c>
      <c r="H9" s="6">
        <v>0</v>
      </c>
      <c r="I9" s="6">
        <f t="shared" si="1"/>
        <v>95.06599999999992</v>
      </c>
      <c r="J9" s="7">
        <f t="shared" si="0"/>
        <v>0.02698975101496179</v>
      </c>
      <c r="L9" s="8"/>
    </row>
    <row r="10" spans="1:10" ht="15">
      <c r="A10" s="2">
        <v>4</v>
      </c>
      <c r="B10" s="3" t="s">
        <v>10</v>
      </c>
      <c r="C10" s="6"/>
      <c r="D10" s="5"/>
      <c r="E10" s="5"/>
      <c r="F10" s="6">
        <f>F8+F9</f>
        <v>756.6759999999999</v>
      </c>
      <c r="G10" s="6">
        <f>425.28+175.93+22.2</f>
        <v>623.4100000000001</v>
      </c>
      <c r="H10" s="6">
        <f>H8+H9</f>
        <v>20.810000000000002</v>
      </c>
      <c r="I10" s="6">
        <f t="shared" si="1"/>
        <v>112.45599999999985</v>
      </c>
      <c r="J10" s="7">
        <f t="shared" si="0"/>
        <v>0.03192686596825933</v>
      </c>
    </row>
    <row r="11" spans="1:10" ht="15">
      <c r="A11" s="39">
        <v>5</v>
      </c>
      <c r="B11" s="3" t="s">
        <v>15</v>
      </c>
      <c r="C11" s="6"/>
      <c r="D11" s="11">
        <v>3735</v>
      </c>
      <c r="E11" s="11">
        <v>3765</v>
      </c>
      <c r="F11" s="21">
        <f>(E11-D11)*10</f>
        <v>300</v>
      </c>
      <c r="G11" s="6">
        <v>0</v>
      </c>
      <c r="H11" s="6">
        <v>0</v>
      </c>
      <c r="I11" s="6">
        <f t="shared" si="1"/>
        <v>300</v>
      </c>
      <c r="J11" s="7">
        <f t="shared" si="0"/>
        <v>0.08517162081594412</v>
      </c>
    </row>
    <row r="12" spans="1:10" ht="15">
      <c r="A12" s="40"/>
      <c r="B12" s="3" t="s">
        <v>16</v>
      </c>
      <c r="C12" s="6"/>
      <c r="D12" s="11">
        <v>4568</v>
      </c>
      <c r="E12" s="11">
        <v>4605</v>
      </c>
      <c r="F12" s="21">
        <f>(E12-D12)*10</f>
        <v>370</v>
      </c>
      <c r="G12" s="6">
        <v>0</v>
      </c>
      <c r="H12" s="6">
        <v>0</v>
      </c>
      <c r="I12" s="6">
        <f t="shared" si="1"/>
        <v>370</v>
      </c>
      <c r="J12" s="7">
        <f t="shared" si="0"/>
        <v>0.10504499900633109</v>
      </c>
    </row>
    <row r="13" spans="1:10" ht="15">
      <c r="A13" s="40"/>
      <c r="B13" s="3" t="s">
        <v>17</v>
      </c>
      <c r="C13" s="6"/>
      <c r="D13" s="11">
        <v>38330</v>
      </c>
      <c r="E13" s="11">
        <v>38680</v>
      </c>
      <c r="F13" s="21">
        <f>(E13-D13)*1</f>
        <v>350</v>
      </c>
      <c r="G13" s="6">
        <v>0</v>
      </c>
      <c r="H13" s="6">
        <v>0</v>
      </c>
      <c r="I13" s="6">
        <f t="shared" si="1"/>
        <v>350</v>
      </c>
      <c r="J13" s="7">
        <f t="shared" si="0"/>
        <v>0.09936689095193481</v>
      </c>
    </row>
    <row r="14" spans="1:10" ht="15">
      <c r="A14" s="40"/>
      <c r="B14" s="3" t="s">
        <v>18</v>
      </c>
      <c r="C14" s="6"/>
      <c r="D14" s="11">
        <v>23410</v>
      </c>
      <c r="E14" s="11">
        <v>23680</v>
      </c>
      <c r="F14" s="21">
        <f>(E14-D14)*1</f>
        <v>270</v>
      </c>
      <c r="G14" s="6">
        <v>0</v>
      </c>
      <c r="H14" s="6">
        <v>0</v>
      </c>
      <c r="I14" s="6">
        <f t="shared" si="1"/>
        <v>270</v>
      </c>
      <c r="J14" s="7">
        <f t="shared" si="0"/>
        <v>0.07665445873434971</v>
      </c>
    </row>
    <row r="15" spans="1:10" ht="15">
      <c r="A15" s="41"/>
      <c r="B15" s="3" t="s">
        <v>19</v>
      </c>
      <c r="C15" s="13"/>
      <c r="D15" s="11">
        <v>4055</v>
      </c>
      <c r="E15" s="14">
        <v>4588</v>
      </c>
      <c r="F15" s="7">
        <f>(E15-D15)*1</f>
        <v>533</v>
      </c>
      <c r="G15" s="6">
        <v>0</v>
      </c>
      <c r="H15" s="13">
        <v>0</v>
      </c>
      <c r="I15" s="6">
        <f t="shared" si="1"/>
        <v>533</v>
      </c>
      <c r="J15" s="7">
        <f t="shared" si="0"/>
        <v>0.15132157964966073</v>
      </c>
    </row>
    <row r="16" spans="1:10" ht="15">
      <c r="A16" s="41"/>
      <c r="B16" s="3" t="s">
        <v>20</v>
      </c>
      <c r="C16" s="13"/>
      <c r="D16" s="11">
        <v>5136</v>
      </c>
      <c r="E16" s="14">
        <v>5950</v>
      </c>
      <c r="F16" s="7">
        <f>(E16-D16)*1</f>
        <v>814</v>
      </c>
      <c r="G16" s="13">
        <v>0</v>
      </c>
      <c r="H16" s="13">
        <v>0</v>
      </c>
      <c r="I16" s="13">
        <f t="shared" si="1"/>
        <v>814</v>
      </c>
      <c r="J16" s="7">
        <f t="shared" si="0"/>
        <v>0.2310989978139284</v>
      </c>
    </row>
    <row r="17" spans="1:12" ht="15">
      <c r="A17" s="42"/>
      <c r="B17" s="15" t="s">
        <v>14</v>
      </c>
      <c r="C17" s="15"/>
      <c r="D17" s="16"/>
      <c r="E17" s="15"/>
      <c r="F17" s="17">
        <f>SUM(F11:F16)</f>
        <v>2637</v>
      </c>
      <c r="G17" s="17">
        <f>SUM(G11:G16)</f>
        <v>0</v>
      </c>
      <c r="H17" s="17">
        <f>SUM(H11:H16)</f>
        <v>0</v>
      </c>
      <c r="I17" s="17">
        <f>SUM(I11:I16)</f>
        <v>2637</v>
      </c>
      <c r="J17" s="7">
        <f t="shared" si="0"/>
        <v>0.7486585469721488</v>
      </c>
      <c r="L17" s="8"/>
    </row>
    <row r="18" spans="1:12" ht="15">
      <c r="A18" s="1"/>
      <c r="B18" s="1"/>
      <c r="C18" s="1"/>
      <c r="D18" s="1"/>
      <c r="E18" s="1" t="s">
        <v>21</v>
      </c>
      <c r="F18" s="19">
        <f aca="true" t="shared" si="2" ref="F18:I19">F11+F13+F15</f>
        <v>1183</v>
      </c>
      <c r="G18" s="19">
        <f t="shared" si="2"/>
        <v>0</v>
      </c>
      <c r="H18" s="19">
        <f t="shared" si="2"/>
        <v>0</v>
      </c>
      <c r="I18" s="19">
        <f t="shared" si="2"/>
        <v>1183</v>
      </c>
      <c r="J18" s="7">
        <f t="shared" si="0"/>
        <v>0.33586009141753964</v>
      </c>
      <c r="K18" s="20"/>
      <c r="L18" s="8"/>
    </row>
    <row r="19" spans="1:10" ht="15">
      <c r="A19" s="1"/>
      <c r="B19" s="1"/>
      <c r="C19" s="27"/>
      <c r="D19" s="1"/>
      <c r="E19" s="1" t="s">
        <v>22</v>
      </c>
      <c r="F19" s="18">
        <f t="shared" si="2"/>
        <v>1454</v>
      </c>
      <c r="G19" s="18">
        <f t="shared" si="2"/>
        <v>0</v>
      </c>
      <c r="H19" s="18">
        <f t="shared" si="2"/>
        <v>0</v>
      </c>
      <c r="I19" s="18">
        <f t="shared" si="2"/>
        <v>1454</v>
      </c>
      <c r="J19" s="7">
        <f t="shared" si="0"/>
        <v>0.4127984555546092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</sheetData>
  <sheetProtection/>
  <mergeCells count="11">
    <mergeCell ref="H5:H6"/>
    <mergeCell ref="I5:I6"/>
    <mergeCell ref="J5:J6"/>
    <mergeCell ref="A11:A17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28125" style="0" customWidth="1"/>
    <col min="2" max="2" width="23.8515625" style="0" customWidth="1"/>
    <col min="3" max="3" width="18.7109375" style="0" customWidth="1"/>
    <col min="4" max="4" width="15.8515625" style="0" customWidth="1"/>
    <col min="5" max="5" width="16.0039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1.851562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33</v>
      </c>
    </row>
    <row r="4" spans="1:10" ht="15">
      <c r="A4" s="30" t="s">
        <v>8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77.25" customHeight="1">
      <c r="A5" s="33" t="s">
        <v>0</v>
      </c>
      <c r="B5" s="35" t="s">
        <v>1</v>
      </c>
      <c r="C5" s="33" t="s">
        <v>2</v>
      </c>
      <c r="D5" s="37" t="s">
        <v>7</v>
      </c>
      <c r="E5" s="38"/>
      <c r="F5" s="33" t="s">
        <v>11</v>
      </c>
      <c r="G5" s="33" t="s">
        <v>3</v>
      </c>
      <c r="H5" s="33" t="s">
        <v>4</v>
      </c>
      <c r="I5" s="33" t="s">
        <v>5</v>
      </c>
      <c r="J5" s="35" t="s">
        <v>6</v>
      </c>
    </row>
    <row r="6" spans="1:10" ht="15.75">
      <c r="A6" s="34"/>
      <c r="B6" s="36"/>
      <c r="C6" s="34"/>
      <c r="D6" s="10" t="s">
        <v>12</v>
      </c>
      <c r="E6" s="4" t="s">
        <v>13</v>
      </c>
      <c r="F6" s="34"/>
      <c r="G6" s="34"/>
      <c r="H6" s="34"/>
      <c r="I6" s="34"/>
      <c r="J6" s="36"/>
    </row>
    <row r="7" spans="1:12" ht="15">
      <c r="A7" s="22">
        <v>1</v>
      </c>
      <c r="B7" s="23" t="s">
        <v>31</v>
      </c>
      <c r="C7" s="22"/>
      <c r="D7" s="24"/>
      <c r="E7" s="25"/>
      <c r="F7" s="22">
        <f>14.78+0.18+0.18+0.72</f>
        <v>15.86</v>
      </c>
      <c r="G7" s="28">
        <f>198.5*0.0478</f>
        <v>9.4883</v>
      </c>
      <c r="H7" s="22">
        <f>0.18+0.18+0.72</f>
        <v>1.08</v>
      </c>
      <c r="I7" s="6">
        <f aca="true" t="shared" si="0" ref="I7:I16">F7-G7-H7</f>
        <v>5.291699999999999</v>
      </c>
      <c r="J7" s="7">
        <f aca="true" t="shared" si="1" ref="J7:J19">I7/3522.3</f>
        <v>0.001502342219572438</v>
      </c>
      <c r="L7" s="8"/>
    </row>
    <row r="8" spans="1:12" ht="15">
      <c r="A8" s="2">
        <v>2</v>
      </c>
      <c r="B8" s="3" t="s">
        <v>9</v>
      </c>
      <c r="C8" s="7"/>
      <c r="D8" s="5"/>
      <c r="E8" s="5"/>
      <c r="F8" s="7">
        <f>288.29+3.07+3.07+11.87</f>
        <v>306.3</v>
      </c>
      <c r="G8" s="29">
        <f>196.49-1.2+3.21</f>
        <v>198.50000000000003</v>
      </c>
      <c r="H8" s="6">
        <f>3.07+3.07+11.87</f>
        <v>18.009999999999998</v>
      </c>
      <c r="I8" s="6">
        <f t="shared" si="0"/>
        <v>89.78999999999999</v>
      </c>
      <c r="J8" s="7">
        <f t="shared" si="1"/>
        <v>0.025491866110212074</v>
      </c>
      <c r="L8" s="8"/>
    </row>
    <row r="9" spans="1:12" ht="15">
      <c r="A9" s="2">
        <v>3</v>
      </c>
      <c r="B9" s="3" t="s">
        <v>29</v>
      </c>
      <c r="C9" s="6" t="s">
        <v>34</v>
      </c>
      <c r="D9" s="5"/>
      <c r="E9" s="5"/>
      <c r="F9" s="6">
        <v>401.5</v>
      </c>
      <c r="G9" s="6">
        <f>237.65+86.66+62.86</f>
        <v>387.17</v>
      </c>
      <c r="H9" s="6">
        <v>0</v>
      </c>
      <c r="I9" s="6">
        <f t="shared" si="0"/>
        <v>14.329999999999984</v>
      </c>
      <c r="J9" s="7">
        <f t="shared" si="1"/>
        <v>0.0040683644209749265</v>
      </c>
      <c r="L9" s="8"/>
    </row>
    <row r="10" spans="1:10" ht="15">
      <c r="A10" s="2">
        <v>4</v>
      </c>
      <c r="B10" s="3" t="s">
        <v>10</v>
      </c>
      <c r="C10" s="6"/>
      <c r="D10" s="5"/>
      <c r="E10" s="5"/>
      <c r="F10" s="6">
        <f>F8+F9</f>
        <v>707.8</v>
      </c>
      <c r="G10" s="6">
        <f>434.14+145.54+5.99</f>
        <v>585.67</v>
      </c>
      <c r="H10" s="6">
        <f>H8+H9</f>
        <v>18.009999999999998</v>
      </c>
      <c r="I10" s="6">
        <f t="shared" si="0"/>
        <v>104.12</v>
      </c>
      <c r="J10" s="7">
        <f t="shared" si="1"/>
        <v>0.029560230531187007</v>
      </c>
    </row>
    <row r="11" spans="1:10" ht="15">
      <c r="A11" s="39">
        <v>5</v>
      </c>
      <c r="B11" s="3" t="s">
        <v>15</v>
      </c>
      <c r="C11" s="6"/>
      <c r="D11" s="11">
        <v>3765</v>
      </c>
      <c r="E11" s="11">
        <v>3781</v>
      </c>
      <c r="F11" s="21">
        <f>(E11-D11)*10</f>
        <v>160</v>
      </c>
      <c r="G11" s="6">
        <v>0</v>
      </c>
      <c r="H11" s="6">
        <v>0</v>
      </c>
      <c r="I11" s="6">
        <f t="shared" si="0"/>
        <v>160</v>
      </c>
      <c r="J11" s="7">
        <f t="shared" si="1"/>
        <v>0.0454248644351702</v>
      </c>
    </row>
    <row r="12" spans="1:10" ht="15">
      <c r="A12" s="40"/>
      <c r="B12" s="3" t="s">
        <v>16</v>
      </c>
      <c r="C12" s="6"/>
      <c r="D12" s="11">
        <v>4605</v>
      </c>
      <c r="E12" s="11">
        <v>4629</v>
      </c>
      <c r="F12" s="21">
        <f>(E12-D12)*10</f>
        <v>240</v>
      </c>
      <c r="G12" s="6">
        <v>0</v>
      </c>
      <c r="H12" s="6">
        <v>0</v>
      </c>
      <c r="I12" s="6">
        <f t="shared" si="0"/>
        <v>240</v>
      </c>
      <c r="J12" s="7">
        <f t="shared" si="1"/>
        <v>0.0681372966527553</v>
      </c>
    </row>
    <row r="13" spans="1:10" ht="15">
      <c r="A13" s="40"/>
      <c r="B13" s="3" t="s">
        <v>17</v>
      </c>
      <c r="C13" s="6"/>
      <c r="D13" s="11">
        <v>38680</v>
      </c>
      <c r="E13" s="11">
        <v>38980</v>
      </c>
      <c r="F13" s="21">
        <f>(E13-D13)*1</f>
        <v>300</v>
      </c>
      <c r="G13" s="6">
        <v>0</v>
      </c>
      <c r="H13" s="6">
        <v>0</v>
      </c>
      <c r="I13" s="6">
        <f t="shared" si="0"/>
        <v>300</v>
      </c>
      <c r="J13" s="7">
        <f t="shared" si="1"/>
        <v>0.08517162081594412</v>
      </c>
    </row>
    <row r="14" spans="1:10" ht="15">
      <c r="A14" s="40"/>
      <c r="B14" s="3" t="s">
        <v>18</v>
      </c>
      <c r="C14" s="6"/>
      <c r="D14" s="11">
        <v>23680</v>
      </c>
      <c r="E14" s="11">
        <v>23940</v>
      </c>
      <c r="F14" s="21">
        <f>(E14-D14)*1</f>
        <v>260</v>
      </c>
      <c r="G14" s="6">
        <v>0</v>
      </c>
      <c r="H14" s="6">
        <v>0</v>
      </c>
      <c r="I14" s="6">
        <f t="shared" si="0"/>
        <v>260</v>
      </c>
      <c r="J14" s="7">
        <f t="shared" si="1"/>
        <v>0.07381540470715157</v>
      </c>
    </row>
    <row r="15" spans="1:10" ht="15">
      <c r="A15" s="41"/>
      <c r="B15" s="3" t="s">
        <v>19</v>
      </c>
      <c r="C15" s="13"/>
      <c r="D15" s="11">
        <v>4588</v>
      </c>
      <c r="E15" s="14">
        <v>4913</v>
      </c>
      <c r="F15" s="7">
        <f>(E15-D15)*1</f>
        <v>325</v>
      </c>
      <c r="G15" s="6">
        <v>0</v>
      </c>
      <c r="H15" s="13">
        <v>0</v>
      </c>
      <c r="I15" s="6">
        <f t="shared" si="0"/>
        <v>325</v>
      </c>
      <c r="J15" s="7">
        <f t="shared" si="1"/>
        <v>0.09226925588393947</v>
      </c>
    </row>
    <row r="16" spans="1:10" ht="15">
      <c r="A16" s="41"/>
      <c r="B16" s="3" t="s">
        <v>20</v>
      </c>
      <c r="C16" s="13"/>
      <c r="D16" s="11">
        <v>5950</v>
      </c>
      <c r="E16" s="14">
        <v>6538</v>
      </c>
      <c r="F16" s="7">
        <f>(E16-D16)*1</f>
        <v>588</v>
      </c>
      <c r="G16" s="13">
        <v>0</v>
      </c>
      <c r="H16" s="13">
        <v>0</v>
      </c>
      <c r="I16" s="13">
        <f t="shared" si="0"/>
        <v>588</v>
      </c>
      <c r="J16" s="7">
        <f t="shared" si="1"/>
        <v>0.16693637679925047</v>
      </c>
    </row>
    <row r="17" spans="1:12" ht="15">
      <c r="A17" s="42"/>
      <c r="B17" s="15" t="s">
        <v>14</v>
      </c>
      <c r="C17" s="15"/>
      <c r="D17" s="16"/>
      <c r="E17" s="15"/>
      <c r="F17" s="17">
        <f>SUM(F11:F16)</f>
        <v>1873</v>
      </c>
      <c r="G17" s="17">
        <f>SUM(G11:G16)</f>
        <v>0</v>
      </c>
      <c r="H17" s="17">
        <f>SUM(H11:H16)</f>
        <v>0</v>
      </c>
      <c r="I17" s="17">
        <f>SUM(I11:I16)</f>
        <v>1873</v>
      </c>
      <c r="J17" s="7">
        <f t="shared" si="1"/>
        <v>0.5317548192942111</v>
      </c>
      <c r="L17" s="8"/>
    </row>
    <row r="18" spans="1:12" ht="15">
      <c r="A18" s="1"/>
      <c r="B18" s="1"/>
      <c r="C18" s="1"/>
      <c r="D18" s="1"/>
      <c r="E18" s="1" t="s">
        <v>21</v>
      </c>
      <c r="F18" s="19">
        <f aca="true" t="shared" si="2" ref="F18:I19">F11+F13+F15</f>
        <v>785</v>
      </c>
      <c r="G18" s="19">
        <f t="shared" si="2"/>
        <v>0</v>
      </c>
      <c r="H18" s="19">
        <f t="shared" si="2"/>
        <v>0</v>
      </c>
      <c r="I18" s="19">
        <f t="shared" si="2"/>
        <v>785</v>
      </c>
      <c r="J18" s="7">
        <f t="shared" si="1"/>
        <v>0.22286574113505378</v>
      </c>
      <c r="K18" s="20"/>
      <c r="L18" s="8"/>
    </row>
    <row r="19" spans="1:10" ht="15">
      <c r="A19" s="1"/>
      <c r="B19" s="1"/>
      <c r="C19" s="27"/>
      <c r="D19" s="1"/>
      <c r="E19" s="1" t="s">
        <v>22</v>
      </c>
      <c r="F19" s="18">
        <f t="shared" si="2"/>
        <v>1088</v>
      </c>
      <c r="G19" s="18">
        <f t="shared" si="2"/>
        <v>0</v>
      </c>
      <c r="H19" s="18">
        <f t="shared" si="2"/>
        <v>0</v>
      </c>
      <c r="I19" s="18">
        <f t="shared" si="2"/>
        <v>1088</v>
      </c>
      <c r="J19" s="7">
        <f t="shared" si="1"/>
        <v>0.30888907815915734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19" sqref="G19"/>
    </sheetView>
  </sheetViews>
  <sheetFormatPr defaultColWidth="9.140625" defaultRowHeight="15"/>
  <cols>
    <col min="1" max="1" width="5.28125" style="0" customWidth="1"/>
    <col min="2" max="2" width="23.8515625" style="0" customWidth="1"/>
    <col min="3" max="3" width="18.7109375" style="0" customWidth="1"/>
    <col min="4" max="4" width="15.8515625" style="0" customWidth="1"/>
    <col min="5" max="5" width="16.0039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1.851562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35</v>
      </c>
    </row>
    <row r="4" spans="1:10" ht="15">
      <c r="A4" s="30" t="s">
        <v>8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77.25" customHeight="1">
      <c r="A5" s="33" t="s">
        <v>0</v>
      </c>
      <c r="B5" s="35" t="s">
        <v>1</v>
      </c>
      <c r="C5" s="33" t="s">
        <v>2</v>
      </c>
      <c r="D5" s="37" t="s">
        <v>7</v>
      </c>
      <c r="E5" s="38"/>
      <c r="F5" s="33" t="s">
        <v>11</v>
      </c>
      <c r="G5" s="33" t="s">
        <v>3</v>
      </c>
      <c r="H5" s="33" t="s">
        <v>4</v>
      </c>
      <c r="I5" s="33" t="s">
        <v>5</v>
      </c>
      <c r="J5" s="35" t="s">
        <v>6</v>
      </c>
    </row>
    <row r="6" spans="1:10" ht="15.75">
      <c r="A6" s="34"/>
      <c r="B6" s="36"/>
      <c r="C6" s="34"/>
      <c r="D6" s="10" t="s">
        <v>12</v>
      </c>
      <c r="E6" s="4" t="s">
        <v>13</v>
      </c>
      <c r="F6" s="34"/>
      <c r="G6" s="34"/>
      <c r="H6" s="34"/>
      <c r="I6" s="34"/>
      <c r="J6" s="36"/>
    </row>
    <row r="7" spans="1:12" ht="15">
      <c r="A7" s="22">
        <v>1</v>
      </c>
      <c r="B7" s="23" t="s">
        <v>31</v>
      </c>
      <c r="C7" s="22"/>
      <c r="D7" s="24"/>
      <c r="E7" s="25"/>
      <c r="F7" s="22">
        <f>8.08+0.1+0.1+0.39</f>
        <v>8.67</v>
      </c>
      <c r="G7" s="26">
        <f>G8*0.0478</f>
        <v>13.14288724</v>
      </c>
      <c r="H7" s="22">
        <f>0.1+0.1+0.39</f>
        <v>0.5900000000000001</v>
      </c>
      <c r="I7" s="6">
        <f aca="true" t="shared" si="0" ref="I7:I16">F7-G7-H7</f>
        <v>-5.06288724</v>
      </c>
      <c r="J7" s="7">
        <f aca="true" t="shared" si="1" ref="J7:J19">I7/3522.3</f>
        <v>-0.0014373810407972063</v>
      </c>
      <c r="L7" s="8"/>
    </row>
    <row r="8" spans="1:12" ht="15">
      <c r="A8" s="2">
        <v>2</v>
      </c>
      <c r="B8" s="3" t="s">
        <v>9</v>
      </c>
      <c r="C8" s="7"/>
      <c r="D8" s="5"/>
      <c r="E8" s="5"/>
      <c r="F8" s="7">
        <f>210.79+2.46+2.46+9.49</f>
        <v>225.20000000000002</v>
      </c>
      <c r="G8" s="6">
        <f>191.3158+77.34+6.3</f>
        <v>274.9558</v>
      </c>
      <c r="H8" s="6">
        <f>2.46+2.46+9.49</f>
        <v>14.41</v>
      </c>
      <c r="I8" s="6">
        <f t="shared" si="0"/>
        <v>-64.16579999999999</v>
      </c>
      <c r="J8" s="7">
        <f t="shared" si="1"/>
        <v>-0.018217017289839023</v>
      </c>
      <c r="L8" s="8"/>
    </row>
    <row r="9" spans="1:12" ht="15">
      <c r="A9" s="2">
        <v>3</v>
      </c>
      <c r="B9" s="3" t="s">
        <v>29</v>
      </c>
      <c r="C9" s="6" t="s">
        <v>36</v>
      </c>
      <c r="D9" s="5"/>
      <c r="E9" s="5"/>
      <c r="F9" s="6">
        <v>425.026</v>
      </c>
      <c r="G9" s="6">
        <f>231.3919+113.3+11.47</f>
        <v>356.1619</v>
      </c>
      <c r="H9" s="6">
        <v>0</v>
      </c>
      <c r="I9" s="6">
        <f>8.715</f>
        <v>8.715</v>
      </c>
      <c r="J9" s="7">
        <f t="shared" si="1"/>
        <v>0.002474235584703177</v>
      </c>
      <c r="L9" s="8"/>
    </row>
    <row r="10" spans="1:10" ht="15">
      <c r="A10" s="2">
        <v>4</v>
      </c>
      <c r="B10" s="3" t="s">
        <v>10</v>
      </c>
      <c r="C10" s="6"/>
      <c r="D10" s="5"/>
      <c r="E10" s="5"/>
      <c r="F10" s="6">
        <f>F8+F9</f>
        <v>650.226</v>
      </c>
      <c r="G10" s="6">
        <f>422.7077+192.71+15.7</f>
        <v>631.1177</v>
      </c>
      <c r="H10" s="6">
        <f>H8+H9</f>
        <v>14.41</v>
      </c>
      <c r="I10" s="6">
        <v>0</v>
      </c>
      <c r="J10" s="7">
        <f t="shared" si="1"/>
        <v>0</v>
      </c>
    </row>
    <row r="11" spans="1:10" ht="15">
      <c r="A11" s="39">
        <v>5</v>
      </c>
      <c r="B11" s="3" t="s">
        <v>15</v>
      </c>
      <c r="C11" s="6"/>
      <c r="D11" s="11">
        <v>3781</v>
      </c>
      <c r="E11" s="11">
        <v>3793</v>
      </c>
      <c r="F11" s="21">
        <f>(E11-D11)*10</f>
        <v>120</v>
      </c>
      <c r="G11" s="6">
        <v>0</v>
      </c>
      <c r="H11" s="6">
        <v>0</v>
      </c>
      <c r="I11" s="6">
        <f t="shared" si="0"/>
        <v>120</v>
      </c>
      <c r="J11" s="7">
        <f t="shared" si="1"/>
        <v>0.03406864832637765</v>
      </c>
    </row>
    <row r="12" spans="1:10" ht="15">
      <c r="A12" s="40"/>
      <c r="B12" s="3" t="s">
        <v>16</v>
      </c>
      <c r="C12" s="6"/>
      <c r="D12" s="11">
        <v>4629</v>
      </c>
      <c r="E12" s="11">
        <v>4645</v>
      </c>
      <c r="F12" s="21">
        <f>(E12-D12)*10</f>
        <v>160</v>
      </c>
      <c r="G12" s="6">
        <v>0</v>
      </c>
      <c r="H12" s="6">
        <v>0</v>
      </c>
      <c r="I12" s="6">
        <f t="shared" si="0"/>
        <v>160</v>
      </c>
      <c r="J12" s="7">
        <f t="shared" si="1"/>
        <v>0.0454248644351702</v>
      </c>
    </row>
    <row r="13" spans="1:10" ht="15">
      <c r="A13" s="40"/>
      <c r="B13" s="3" t="s">
        <v>17</v>
      </c>
      <c r="C13" s="6"/>
      <c r="D13" s="11">
        <v>38980</v>
      </c>
      <c r="E13" s="11">
        <v>39280</v>
      </c>
      <c r="F13" s="21">
        <f>(E13-D13)*1</f>
        <v>300</v>
      </c>
      <c r="G13" s="6">
        <v>0</v>
      </c>
      <c r="H13" s="6">
        <v>0</v>
      </c>
      <c r="I13" s="6">
        <f t="shared" si="0"/>
        <v>300</v>
      </c>
      <c r="J13" s="7">
        <f t="shared" si="1"/>
        <v>0.08517162081594412</v>
      </c>
    </row>
    <row r="14" spans="1:10" ht="15">
      <c r="A14" s="40"/>
      <c r="B14" s="3" t="s">
        <v>18</v>
      </c>
      <c r="C14" s="6"/>
      <c r="D14" s="11">
        <v>23940</v>
      </c>
      <c r="E14" s="11">
        <v>24160</v>
      </c>
      <c r="F14" s="21">
        <f>(E14-D14)*1</f>
        <v>220</v>
      </c>
      <c r="G14" s="6">
        <v>0</v>
      </c>
      <c r="H14" s="6">
        <v>0</v>
      </c>
      <c r="I14" s="6">
        <f t="shared" si="0"/>
        <v>220</v>
      </c>
      <c r="J14" s="7">
        <f t="shared" si="1"/>
        <v>0.06245918859835902</v>
      </c>
    </row>
    <row r="15" spans="1:10" ht="15">
      <c r="A15" s="41"/>
      <c r="B15" s="3" t="s">
        <v>19</v>
      </c>
      <c r="C15" s="13"/>
      <c r="D15" s="11">
        <v>4913</v>
      </c>
      <c r="E15" s="14">
        <v>5261</v>
      </c>
      <c r="F15" s="7">
        <f>(E15-D15)*1</f>
        <v>348</v>
      </c>
      <c r="G15" s="6">
        <v>0</v>
      </c>
      <c r="H15" s="13">
        <v>0</v>
      </c>
      <c r="I15" s="6">
        <f t="shared" si="0"/>
        <v>348</v>
      </c>
      <c r="J15" s="7">
        <f t="shared" si="1"/>
        <v>0.09879908014649519</v>
      </c>
    </row>
    <row r="16" spans="1:10" ht="15">
      <c r="A16" s="41"/>
      <c r="B16" s="3" t="s">
        <v>20</v>
      </c>
      <c r="C16" s="13"/>
      <c r="D16" s="11">
        <v>6538</v>
      </c>
      <c r="E16" s="14">
        <v>7071</v>
      </c>
      <c r="F16" s="7">
        <f>(E16-D16)*1</f>
        <v>533</v>
      </c>
      <c r="G16" s="13">
        <v>0</v>
      </c>
      <c r="H16" s="13">
        <v>0</v>
      </c>
      <c r="I16" s="13">
        <f t="shared" si="0"/>
        <v>533</v>
      </c>
      <c r="J16" s="7">
        <f t="shared" si="1"/>
        <v>0.15132157964966073</v>
      </c>
    </row>
    <row r="17" spans="1:12" ht="15">
      <c r="A17" s="42"/>
      <c r="B17" s="15" t="s">
        <v>14</v>
      </c>
      <c r="C17" s="15"/>
      <c r="D17" s="16"/>
      <c r="E17" s="15"/>
      <c r="F17" s="17">
        <f>SUM(F11:F16)</f>
        <v>1681</v>
      </c>
      <c r="G17" s="17">
        <f>SUM(G11:G16)</f>
        <v>0</v>
      </c>
      <c r="H17" s="17">
        <f>SUM(H11:H16)</f>
        <v>0</v>
      </c>
      <c r="I17" s="17">
        <f>SUM(I11:I16)</f>
        <v>1681</v>
      </c>
      <c r="J17" s="7">
        <f t="shared" si="1"/>
        <v>0.4772449819720069</v>
      </c>
      <c r="L17" s="8"/>
    </row>
    <row r="18" spans="1:12" ht="15">
      <c r="A18" s="1"/>
      <c r="B18" s="1"/>
      <c r="C18" s="1"/>
      <c r="D18" s="1"/>
      <c r="E18" s="1" t="s">
        <v>21</v>
      </c>
      <c r="F18" s="19">
        <f aca="true" t="shared" si="2" ref="F18:I19">F11+F13+F15</f>
        <v>768</v>
      </c>
      <c r="G18" s="19">
        <f t="shared" si="2"/>
        <v>0</v>
      </c>
      <c r="H18" s="19">
        <f t="shared" si="2"/>
        <v>0</v>
      </c>
      <c r="I18" s="19">
        <f t="shared" si="2"/>
        <v>768</v>
      </c>
      <c r="J18" s="7">
        <f t="shared" si="1"/>
        <v>0.21803934928881696</v>
      </c>
      <c r="K18" s="20"/>
      <c r="L18" s="8"/>
    </row>
    <row r="19" spans="1:10" ht="15">
      <c r="A19" s="1"/>
      <c r="B19" s="1"/>
      <c r="C19" s="27"/>
      <c r="D19" s="1"/>
      <c r="E19" s="1" t="s">
        <v>22</v>
      </c>
      <c r="F19" s="18">
        <f t="shared" si="2"/>
        <v>913</v>
      </c>
      <c r="G19" s="18">
        <f t="shared" si="2"/>
        <v>0</v>
      </c>
      <c r="H19" s="18">
        <f t="shared" si="2"/>
        <v>0</v>
      </c>
      <c r="I19" s="18">
        <f t="shared" si="2"/>
        <v>913</v>
      </c>
      <c r="J19" s="7">
        <f t="shared" si="1"/>
        <v>0.25920563268318997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</sheetData>
  <sheetProtection/>
  <mergeCells count="11"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28125" style="0" customWidth="1"/>
    <col min="2" max="2" width="23.8515625" style="0" customWidth="1"/>
    <col min="3" max="3" width="18.7109375" style="0" customWidth="1"/>
    <col min="4" max="4" width="15.8515625" style="0" customWidth="1"/>
    <col min="5" max="5" width="16.0039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1.851562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37</v>
      </c>
    </row>
    <row r="4" spans="1:10" ht="15">
      <c r="A4" s="30" t="s">
        <v>8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77.25" customHeight="1">
      <c r="A5" s="33" t="s">
        <v>0</v>
      </c>
      <c r="B5" s="35" t="s">
        <v>1</v>
      </c>
      <c r="C5" s="33" t="s">
        <v>2</v>
      </c>
      <c r="D5" s="37" t="s">
        <v>7</v>
      </c>
      <c r="E5" s="38"/>
      <c r="F5" s="33" t="s">
        <v>11</v>
      </c>
      <c r="G5" s="33" t="s">
        <v>3</v>
      </c>
      <c r="H5" s="33" t="s">
        <v>4</v>
      </c>
      <c r="I5" s="33" t="s">
        <v>5</v>
      </c>
      <c r="J5" s="35" t="s">
        <v>6</v>
      </c>
    </row>
    <row r="6" spans="1:10" ht="15.75">
      <c r="A6" s="34"/>
      <c r="B6" s="36"/>
      <c r="C6" s="34"/>
      <c r="D6" s="10" t="s">
        <v>12</v>
      </c>
      <c r="E6" s="4" t="s">
        <v>13</v>
      </c>
      <c r="F6" s="34"/>
      <c r="G6" s="34"/>
      <c r="H6" s="34"/>
      <c r="I6" s="34"/>
      <c r="J6" s="36"/>
    </row>
    <row r="7" spans="1:12" ht="15">
      <c r="A7" s="22">
        <v>1</v>
      </c>
      <c r="B7" s="23" t="s">
        <v>31</v>
      </c>
      <c r="C7" s="22"/>
      <c r="D7" s="24"/>
      <c r="E7" s="25"/>
      <c r="F7" s="22">
        <f>7.18+0.09+0.09+0.35</f>
        <v>7.709999999999999</v>
      </c>
      <c r="G7" s="26">
        <f>G8*0.0478</f>
        <v>11.795606000000001</v>
      </c>
      <c r="H7" s="22">
        <f>0.09+0.09+0.35</f>
        <v>0.53</v>
      </c>
      <c r="I7" s="6">
        <f>F7-G7-H7</f>
        <v>-4.615606000000002</v>
      </c>
      <c r="J7" s="7">
        <f aca="true" t="shared" si="0" ref="J7:J19">I7/3522.3</f>
        <v>-0.0013103954802259892</v>
      </c>
      <c r="L7" s="8"/>
    </row>
    <row r="8" spans="1:12" ht="15">
      <c r="A8" s="2">
        <v>2</v>
      </c>
      <c r="B8" s="3" t="s">
        <v>9</v>
      </c>
      <c r="C8" s="7"/>
      <c r="D8" s="5"/>
      <c r="E8" s="5"/>
      <c r="F8" s="7">
        <f>184.79+2.16+2.16+8.32</f>
        <v>197.42999999999998</v>
      </c>
      <c r="G8" s="6">
        <f>184.46+62.31</f>
        <v>246.77</v>
      </c>
      <c r="H8" s="6">
        <f>2.16+2.16+8.32</f>
        <v>12.64</v>
      </c>
      <c r="I8" s="6">
        <f>F8-G8-H8</f>
        <v>-61.98000000000003</v>
      </c>
      <c r="J8" s="7">
        <f t="shared" si="0"/>
        <v>-0.017596456860574063</v>
      </c>
      <c r="L8" s="8"/>
    </row>
    <row r="9" spans="1:12" ht="15">
      <c r="A9" s="2">
        <v>3</v>
      </c>
      <c r="B9" s="3" t="s">
        <v>29</v>
      </c>
      <c r="C9" s="6" t="s">
        <v>38</v>
      </c>
      <c r="D9" s="5"/>
      <c r="E9" s="5"/>
      <c r="F9" s="6">
        <f>60.206+301.03</f>
        <v>361.236</v>
      </c>
      <c r="G9" s="6">
        <f>223.1+100.51+8.39</f>
        <v>332</v>
      </c>
      <c r="H9" s="6">
        <v>0</v>
      </c>
      <c r="I9" s="6">
        <v>8.715</v>
      </c>
      <c r="J9" s="7">
        <f t="shared" si="0"/>
        <v>0.002474235584703177</v>
      </c>
      <c r="L9" s="8"/>
    </row>
    <row r="10" spans="1:10" ht="15">
      <c r="A10" s="2">
        <v>4</v>
      </c>
      <c r="B10" s="3" t="s">
        <v>10</v>
      </c>
      <c r="C10" s="6"/>
      <c r="D10" s="5"/>
      <c r="E10" s="5"/>
      <c r="F10" s="6">
        <f>F8+F9</f>
        <v>558.6659999999999</v>
      </c>
      <c r="G10" s="6">
        <f>407.56+163.72+7.49</f>
        <v>578.77</v>
      </c>
      <c r="H10" s="6">
        <f>H8+H9</f>
        <v>12.64</v>
      </c>
      <c r="I10" s="6">
        <v>0</v>
      </c>
      <c r="J10" s="7">
        <f t="shared" si="0"/>
        <v>0</v>
      </c>
    </row>
    <row r="11" spans="1:10" ht="15">
      <c r="A11" s="39">
        <v>5</v>
      </c>
      <c r="B11" s="3" t="s">
        <v>15</v>
      </c>
      <c r="C11" s="6"/>
      <c r="D11" s="11">
        <v>3793</v>
      </c>
      <c r="E11" s="11">
        <v>3808</v>
      </c>
      <c r="F11" s="21">
        <f>(E11-D11)*10</f>
        <v>150</v>
      </c>
      <c r="G11" s="6">
        <v>0</v>
      </c>
      <c r="H11" s="6">
        <v>0</v>
      </c>
      <c r="I11" s="6">
        <f aca="true" t="shared" si="1" ref="I11:I16">F11-G11-H11</f>
        <v>150</v>
      </c>
      <c r="J11" s="7">
        <f t="shared" si="0"/>
        <v>0.04258581040797206</v>
      </c>
    </row>
    <row r="12" spans="1:10" ht="15">
      <c r="A12" s="40"/>
      <c r="B12" s="3" t="s">
        <v>16</v>
      </c>
      <c r="C12" s="6"/>
      <c r="D12" s="11">
        <v>4645</v>
      </c>
      <c r="E12" s="11">
        <v>4666</v>
      </c>
      <c r="F12" s="21">
        <f>(E12-D12)*10</f>
        <v>210</v>
      </c>
      <c r="G12" s="6">
        <v>0</v>
      </c>
      <c r="H12" s="6">
        <v>0</v>
      </c>
      <c r="I12" s="6">
        <f t="shared" si="1"/>
        <v>210</v>
      </c>
      <c r="J12" s="7">
        <f t="shared" si="0"/>
        <v>0.05962013457116089</v>
      </c>
    </row>
    <row r="13" spans="1:10" ht="15">
      <c r="A13" s="40"/>
      <c r="B13" s="3" t="s">
        <v>17</v>
      </c>
      <c r="C13" s="6"/>
      <c r="D13" s="11">
        <v>39280</v>
      </c>
      <c r="E13" s="11">
        <v>39560</v>
      </c>
      <c r="F13" s="21">
        <f>(E13-D13)*1</f>
        <v>280</v>
      </c>
      <c r="G13" s="6">
        <v>0</v>
      </c>
      <c r="H13" s="6">
        <v>0</v>
      </c>
      <c r="I13" s="6">
        <f t="shared" si="1"/>
        <v>280</v>
      </c>
      <c r="J13" s="7">
        <f t="shared" si="0"/>
        <v>0.07949351276154785</v>
      </c>
    </row>
    <row r="14" spans="1:10" ht="15">
      <c r="A14" s="40"/>
      <c r="B14" s="3" t="s">
        <v>18</v>
      </c>
      <c r="C14" s="6"/>
      <c r="D14" s="11">
        <v>24160</v>
      </c>
      <c r="E14" s="11">
        <v>24395</v>
      </c>
      <c r="F14" s="21">
        <f>(E14-D14)*1</f>
        <v>235</v>
      </c>
      <c r="G14" s="6">
        <v>0</v>
      </c>
      <c r="H14" s="6">
        <v>0</v>
      </c>
      <c r="I14" s="6">
        <f t="shared" si="1"/>
        <v>235</v>
      </c>
      <c r="J14" s="7">
        <f t="shared" si="0"/>
        <v>0.06671776963915622</v>
      </c>
    </row>
    <row r="15" spans="1:10" ht="15">
      <c r="A15" s="41"/>
      <c r="B15" s="3" t="s">
        <v>19</v>
      </c>
      <c r="C15" s="13"/>
      <c r="D15" s="11">
        <v>5261</v>
      </c>
      <c r="E15" s="14">
        <v>5672</v>
      </c>
      <c r="F15" s="7">
        <f>(E15-D15)*1</f>
        <v>411</v>
      </c>
      <c r="G15" s="6">
        <v>0</v>
      </c>
      <c r="H15" s="13">
        <v>0</v>
      </c>
      <c r="I15" s="6">
        <f t="shared" si="1"/>
        <v>411</v>
      </c>
      <c r="J15" s="7">
        <f t="shared" si="0"/>
        <v>0.11668512051784345</v>
      </c>
    </row>
    <row r="16" spans="1:10" ht="15">
      <c r="A16" s="41"/>
      <c r="B16" s="3" t="s">
        <v>20</v>
      </c>
      <c r="C16" s="13"/>
      <c r="D16" s="11">
        <v>7071</v>
      </c>
      <c r="E16" s="14">
        <v>7661</v>
      </c>
      <c r="F16" s="7">
        <f>(E16-D16)*1</f>
        <v>590</v>
      </c>
      <c r="G16" s="13">
        <v>0</v>
      </c>
      <c r="H16" s="13">
        <v>0</v>
      </c>
      <c r="I16" s="13">
        <f t="shared" si="1"/>
        <v>590</v>
      </c>
      <c r="J16" s="7">
        <f t="shared" si="0"/>
        <v>0.1675041876046901</v>
      </c>
    </row>
    <row r="17" spans="1:12" ht="15">
      <c r="A17" s="42"/>
      <c r="B17" s="15" t="s">
        <v>14</v>
      </c>
      <c r="C17" s="15"/>
      <c r="D17" s="16"/>
      <c r="E17" s="15"/>
      <c r="F17" s="17">
        <f>SUM(F11:F16)</f>
        <v>1876</v>
      </c>
      <c r="G17" s="17">
        <f>SUM(G11:G16)</f>
        <v>0</v>
      </c>
      <c r="H17" s="17">
        <f>SUM(H11:H16)</f>
        <v>0</v>
      </c>
      <c r="I17" s="17">
        <f>SUM(I11:I16)</f>
        <v>1876</v>
      </c>
      <c r="J17" s="7">
        <f t="shared" si="0"/>
        <v>0.5326065355023706</v>
      </c>
      <c r="L17" s="8"/>
    </row>
    <row r="18" spans="1:12" ht="15">
      <c r="A18" s="1"/>
      <c r="B18" s="1"/>
      <c r="C18" s="1"/>
      <c r="D18" s="1"/>
      <c r="E18" s="1" t="s">
        <v>21</v>
      </c>
      <c r="F18" s="19">
        <f aca="true" t="shared" si="2" ref="F18:I19">F11+F13+F15</f>
        <v>841</v>
      </c>
      <c r="G18" s="19">
        <f t="shared" si="2"/>
        <v>0</v>
      </c>
      <c r="H18" s="19">
        <f t="shared" si="2"/>
        <v>0</v>
      </c>
      <c r="I18" s="19">
        <f t="shared" si="2"/>
        <v>841</v>
      </c>
      <c r="J18" s="7">
        <f t="shared" si="0"/>
        <v>0.23876444368736335</v>
      </c>
      <c r="K18" s="20"/>
      <c r="L18" s="8"/>
    </row>
    <row r="19" spans="1:10" ht="15">
      <c r="A19" s="1"/>
      <c r="B19" s="1"/>
      <c r="C19" s="27"/>
      <c r="D19" s="1"/>
      <c r="E19" s="1" t="s">
        <v>22</v>
      </c>
      <c r="F19" s="18">
        <f t="shared" si="2"/>
        <v>1035</v>
      </c>
      <c r="G19" s="18">
        <f t="shared" si="2"/>
        <v>0</v>
      </c>
      <c r="H19" s="18">
        <f t="shared" si="2"/>
        <v>0</v>
      </c>
      <c r="I19" s="18">
        <f t="shared" si="2"/>
        <v>1035</v>
      </c>
      <c r="J19" s="7">
        <f t="shared" si="0"/>
        <v>0.2938420918150072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</sheetData>
  <sheetProtection/>
  <mergeCells count="11"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28125" style="0" customWidth="1"/>
    <col min="2" max="2" width="23.8515625" style="0" customWidth="1"/>
    <col min="3" max="3" width="18.7109375" style="0" customWidth="1"/>
    <col min="4" max="4" width="15.8515625" style="0" customWidth="1"/>
    <col min="5" max="5" width="16.0039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1.851562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39</v>
      </c>
    </row>
    <row r="4" spans="1:10" ht="15">
      <c r="A4" s="30" t="s">
        <v>8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77.25" customHeight="1">
      <c r="A5" s="33" t="s">
        <v>0</v>
      </c>
      <c r="B5" s="35" t="s">
        <v>1</v>
      </c>
      <c r="C5" s="33" t="s">
        <v>2</v>
      </c>
      <c r="D5" s="37" t="s">
        <v>7</v>
      </c>
      <c r="E5" s="38"/>
      <c r="F5" s="33" t="s">
        <v>11</v>
      </c>
      <c r="G5" s="33" t="s">
        <v>3</v>
      </c>
      <c r="H5" s="33" t="s">
        <v>4</v>
      </c>
      <c r="I5" s="33" t="s">
        <v>5</v>
      </c>
      <c r="J5" s="35" t="s">
        <v>6</v>
      </c>
    </row>
    <row r="6" spans="1:10" ht="15.75">
      <c r="A6" s="34"/>
      <c r="B6" s="36"/>
      <c r="C6" s="34"/>
      <c r="D6" s="10" t="s">
        <v>12</v>
      </c>
      <c r="E6" s="4" t="s">
        <v>13</v>
      </c>
      <c r="F6" s="34"/>
      <c r="G6" s="34"/>
      <c r="H6" s="34"/>
      <c r="I6" s="34"/>
      <c r="J6" s="36"/>
    </row>
    <row r="7" spans="1:12" ht="15">
      <c r="A7" s="22">
        <v>1</v>
      </c>
      <c r="B7" s="23" t="s">
        <v>31</v>
      </c>
      <c r="C7" s="22"/>
      <c r="D7" s="24"/>
      <c r="E7" s="25"/>
      <c r="F7" s="22">
        <f>16.48+0.22+0.22+0.88</f>
        <v>17.799999999999997</v>
      </c>
      <c r="G7" s="26">
        <f>G8*0.0478</f>
        <v>10.58053</v>
      </c>
      <c r="H7" s="22">
        <f>0.22+0.22+0.88</f>
        <v>1.32</v>
      </c>
      <c r="I7" s="26">
        <f>I8*0.0478</f>
        <v>0.41657222000000005</v>
      </c>
      <c r="J7" s="7">
        <f aca="true" t="shared" si="0" ref="J7:J19">I7/3522.3</f>
        <v>0.00011826710388098686</v>
      </c>
      <c r="L7" s="8"/>
    </row>
    <row r="8" spans="1:12" ht="15">
      <c r="A8" s="2">
        <v>2</v>
      </c>
      <c r="B8" s="3" t="s">
        <v>9</v>
      </c>
      <c r="C8" s="7"/>
      <c r="D8" s="5"/>
      <c r="E8" s="5"/>
      <c r="F8" s="7">
        <f>346.19+5.21+5.21+20.09</f>
        <v>376.69999999999993</v>
      </c>
      <c r="G8" s="6">
        <f>184.46+29.57+7.32</f>
        <v>221.35</v>
      </c>
      <c r="H8" s="6">
        <f>5.21+5.21+20.09</f>
        <v>30.509999999999998</v>
      </c>
      <c r="I8" s="6">
        <v>8.7149</v>
      </c>
      <c r="J8" s="7">
        <f t="shared" si="0"/>
        <v>0.002474207194162905</v>
      </c>
      <c r="L8" s="8"/>
    </row>
    <row r="9" spans="1:12" ht="15">
      <c r="A9" s="2">
        <v>3</v>
      </c>
      <c r="B9" s="3" t="s">
        <v>29</v>
      </c>
      <c r="C9" s="6" t="s">
        <v>40</v>
      </c>
      <c r="D9" s="5"/>
      <c r="E9" s="5"/>
      <c r="F9" s="6">
        <f>377.476</f>
        <v>377.476</v>
      </c>
      <c r="G9" s="6">
        <f>223.1+76.37+10.89</f>
        <v>310.36</v>
      </c>
      <c r="H9" s="6">
        <v>0</v>
      </c>
      <c r="I9" s="6">
        <v>8.7149</v>
      </c>
      <c r="J9" s="7">
        <f t="shared" si="0"/>
        <v>0.002474207194162905</v>
      </c>
      <c r="L9" s="8"/>
    </row>
    <row r="10" spans="1:10" ht="15">
      <c r="A10" s="2">
        <v>4</v>
      </c>
      <c r="B10" s="3" t="s">
        <v>10</v>
      </c>
      <c r="C10" s="6"/>
      <c r="D10" s="5"/>
      <c r="E10" s="5"/>
      <c r="F10" s="6">
        <f>F8+F9</f>
        <v>754.1759999999999</v>
      </c>
      <c r="G10" s="6">
        <f>407.56+106.77+17.38</f>
        <v>531.71</v>
      </c>
      <c r="H10" s="6">
        <f>H8+H9</f>
        <v>30.509999999999998</v>
      </c>
      <c r="I10" s="6">
        <v>0</v>
      </c>
      <c r="J10" s="7">
        <f t="shared" si="0"/>
        <v>0</v>
      </c>
    </row>
    <row r="11" spans="1:10" ht="15">
      <c r="A11" s="39">
        <v>5</v>
      </c>
      <c r="B11" s="3" t="s">
        <v>15</v>
      </c>
      <c r="C11" s="6"/>
      <c r="D11" s="11">
        <v>3808</v>
      </c>
      <c r="E11" s="11">
        <v>3830</v>
      </c>
      <c r="F11" s="21">
        <f>(E11-D11)*10</f>
        <v>220</v>
      </c>
      <c r="G11" s="6">
        <v>0</v>
      </c>
      <c r="H11" s="6">
        <v>0</v>
      </c>
      <c r="I11" s="6">
        <f aca="true" t="shared" si="1" ref="I11:I16">F11-G11-H11</f>
        <v>220</v>
      </c>
      <c r="J11" s="7">
        <f t="shared" si="0"/>
        <v>0.06245918859835902</v>
      </c>
    </row>
    <row r="12" spans="1:10" ht="15">
      <c r="A12" s="40"/>
      <c r="B12" s="3" t="s">
        <v>16</v>
      </c>
      <c r="C12" s="6"/>
      <c r="D12" s="11">
        <v>4666</v>
      </c>
      <c r="E12" s="11">
        <v>4690</v>
      </c>
      <c r="F12" s="21">
        <f>(E12-D12)*10</f>
        <v>240</v>
      </c>
      <c r="G12" s="6">
        <v>0</v>
      </c>
      <c r="H12" s="6">
        <v>0</v>
      </c>
      <c r="I12" s="6">
        <f t="shared" si="1"/>
        <v>240</v>
      </c>
      <c r="J12" s="7">
        <f t="shared" si="0"/>
        <v>0.0681372966527553</v>
      </c>
    </row>
    <row r="13" spans="1:10" ht="15">
      <c r="A13" s="40"/>
      <c r="B13" s="3" t="s">
        <v>17</v>
      </c>
      <c r="C13" s="6"/>
      <c r="D13" s="11">
        <v>39560</v>
      </c>
      <c r="E13" s="11">
        <v>39850</v>
      </c>
      <c r="F13" s="21">
        <f>(E13-D13)*1</f>
        <v>290</v>
      </c>
      <c r="G13" s="6">
        <v>0</v>
      </c>
      <c r="H13" s="6">
        <v>0</v>
      </c>
      <c r="I13" s="6">
        <f t="shared" si="1"/>
        <v>290</v>
      </c>
      <c r="J13" s="7">
        <f t="shared" si="0"/>
        <v>0.08233256678874598</v>
      </c>
    </row>
    <row r="14" spans="1:10" ht="15">
      <c r="A14" s="40"/>
      <c r="B14" s="3" t="s">
        <v>18</v>
      </c>
      <c r="C14" s="6"/>
      <c r="D14" s="11">
        <v>24395</v>
      </c>
      <c r="E14" s="11">
        <v>24630</v>
      </c>
      <c r="F14" s="21">
        <f>(E14-D14)*1</f>
        <v>235</v>
      </c>
      <c r="G14" s="6">
        <v>0</v>
      </c>
      <c r="H14" s="6">
        <v>0</v>
      </c>
      <c r="I14" s="6">
        <f t="shared" si="1"/>
        <v>235</v>
      </c>
      <c r="J14" s="7">
        <f t="shared" si="0"/>
        <v>0.06671776963915622</v>
      </c>
    </row>
    <row r="15" spans="1:10" ht="15">
      <c r="A15" s="41"/>
      <c r="B15" s="3" t="s">
        <v>19</v>
      </c>
      <c r="C15" s="13"/>
      <c r="D15" s="11">
        <v>5672</v>
      </c>
      <c r="E15" s="14">
        <v>6080</v>
      </c>
      <c r="F15" s="7">
        <f>(E15-D15)*1</f>
        <v>408</v>
      </c>
      <c r="G15" s="6">
        <v>0</v>
      </c>
      <c r="H15" s="13">
        <v>0</v>
      </c>
      <c r="I15" s="6">
        <f t="shared" si="1"/>
        <v>408</v>
      </c>
      <c r="J15" s="7">
        <f t="shared" si="0"/>
        <v>0.115833404309684</v>
      </c>
    </row>
    <row r="16" spans="1:10" ht="15">
      <c r="A16" s="41"/>
      <c r="B16" s="3" t="s">
        <v>20</v>
      </c>
      <c r="C16" s="13"/>
      <c r="D16" s="11">
        <v>7661</v>
      </c>
      <c r="E16" s="14">
        <v>8250</v>
      </c>
      <c r="F16" s="7">
        <f>(E16-D16)*1</f>
        <v>589</v>
      </c>
      <c r="G16" s="13">
        <v>0</v>
      </c>
      <c r="H16" s="13">
        <v>0</v>
      </c>
      <c r="I16" s="13">
        <f t="shared" si="1"/>
        <v>589</v>
      </c>
      <c r="J16" s="7">
        <f t="shared" si="0"/>
        <v>0.1672202822019703</v>
      </c>
    </row>
    <row r="17" spans="1:12" ht="15">
      <c r="A17" s="42"/>
      <c r="B17" s="15" t="s">
        <v>14</v>
      </c>
      <c r="C17" s="15"/>
      <c r="D17" s="16"/>
      <c r="E17" s="15"/>
      <c r="F17" s="17">
        <f>SUM(F11:F16)</f>
        <v>1982</v>
      </c>
      <c r="G17" s="17">
        <f>SUM(G11:G16)</f>
        <v>0</v>
      </c>
      <c r="H17" s="17">
        <f>SUM(H11:H16)</f>
        <v>0</v>
      </c>
      <c r="I17" s="17">
        <f>SUM(I11:I16)</f>
        <v>1982</v>
      </c>
      <c r="J17" s="7">
        <f t="shared" si="0"/>
        <v>0.5627005081906709</v>
      </c>
      <c r="L17" s="8"/>
    </row>
    <row r="18" spans="1:12" ht="15">
      <c r="A18" s="1"/>
      <c r="B18" s="1"/>
      <c r="C18" s="1"/>
      <c r="D18" s="1"/>
      <c r="E18" s="1" t="s">
        <v>21</v>
      </c>
      <c r="F18" s="19">
        <f aca="true" t="shared" si="2" ref="F18:I19">F11+F13+F15</f>
        <v>918</v>
      </c>
      <c r="G18" s="19">
        <f t="shared" si="2"/>
        <v>0</v>
      </c>
      <c r="H18" s="19">
        <f t="shared" si="2"/>
        <v>0</v>
      </c>
      <c r="I18" s="19">
        <f t="shared" si="2"/>
        <v>918</v>
      </c>
      <c r="J18" s="7">
        <f t="shared" si="0"/>
        <v>0.260625159696789</v>
      </c>
      <c r="K18" s="20"/>
      <c r="L18" s="8"/>
    </row>
    <row r="19" spans="1:10" ht="15">
      <c r="A19" s="1"/>
      <c r="B19" s="1"/>
      <c r="C19" s="27"/>
      <c r="D19" s="1"/>
      <c r="E19" s="1" t="s">
        <v>22</v>
      </c>
      <c r="F19" s="18">
        <f t="shared" si="2"/>
        <v>1064</v>
      </c>
      <c r="G19" s="18">
        <f t="shared" si="2"/>
        <v>0</v>
      </c>
      <c r="H19" s="18">
        <f t="shared" si="2"/>
        <v>0</v>
      </c>
      <c r="I19" s="18">
        <f t="shared" si="2"/>
        <v>1064</v>
      </c>
      <c r="J19" s="7">
        <f t="shared" si="0"/>
        <v>0.30207534849388185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</sheetData>
  <sheetProtection/>
  <mergeCells count="11">
    <mergeCell ref="I5:I6"/>
    <mergeCell ref="J5:J6"/>
    <mergeCell ref="A11:A17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1" sqref="A11:A17"/>
    </sheetView>
  </sheetViews>
  <sheetFormatPr defaultColWidth="9.140625" defaultRowHeight="15"/>
  <cols>
    <col min="1" max="1" width="5.28125" style="0" customWidth="1"/>
    <col min="2" max="2" width="23.8515625" style="0" customWidth="1"/>
    <col min="3" max="3" width="18.7109375" style="0" customWidth="1"/>
    <col min="4" max="4" width="15.8515625" style="0" customWidth="1"/>
    <col min="5" max="5" width="16.0039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1.851562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41</v>
      </c>
    </row>
    <row r="4" spans="1:10" ht="15">
      <c r="A4" s="30" t="s">
        <v>8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77.25" customHeight="1">
      <c r="A5" s="33" t="s">
        <v>0</v>
      </c>
      <c r="B5" s="35" t="s">
        <v>1</v>
      </c>
      <c r="C5" s="33" t="s">
        <v>2</v>
      </c>
      <c r="D5" s="37" t="s">
        <v>7</v>
      </c>
      <c r="E5" s="38"/>
      <c r="F5" s="33" t="s">
        <v>11</v>
      </c>
      <c r="G5" s="33" t="s">
        <v>3</v>
      </c>
      <c r="H5" s="33" t="s">
        <v>4</v>
      </c>
      <c r="I5" s="33" t="s">
        <v>5</v>
      </c>
      <c r="J5" s="35" t="s">
        <v>6</v>
      </c>
    </row>
    <row r="6" spans="1:10" ht="15.75">
      <c r="A6" s="34"/>
      <c r="B6" s="36"/>
      <c r="C6" s="34"/>
      <c r="D6" s="10" t="s">
        <v>12</v>
      </c>
      <c r="E6" s="4" t="s">
        <v>13</v>
      </c>
      <c r="F6" s="34"/>
      <c r="G6" s="34"/>
      <c r="H6" s="34"/>
      <c r="I6" s="34"/>
      <c r="J6" s="36"/>
    </row>
    <row r="7" spans="1:12" ht="15">
      <c r="A7" s="22">
        <v>1</v>
      </c>
      <c r="B7" s="23" t="s">
        <v>31</v>
      </c>
      <c r="C7" s="22"/>
      <c r="D7" s="24"/>
      <c r="E7" s="25"/>
      <c r="F7" s="22">
        <f>16.08+0.31+0.25+0.72</f>
        <v>17.359999999999996</v>
      </c>
      <c r="G7" s="26">
        <f>G8*0.0478</f>
        <v>13.08047</v>
      </c>
      <c r="H7" s="22">
        <f>0.31+0.25+0.72</f>
        <v>1.28</v>
      </c>
      <c r="I7" s="6">
        <f>8.715*0.0478</f>
        <v>0.41657700000000003</v>
      </c>
      <c r="J7" s="7">
        <f aca="true" t="shared" si="0" ref="J7:J19">I7/3522.3</f>
        <v>0.00011826846094881186</v>
      </c>
      <c r="L7" s="8"/>
    </row>
    <row r="8" spans="1:12" ht="15">
      <c r="A8" s="2">
        <v>2</v>
      </c>
      <c r="B8" s="3" t="s">
        <v>9</v>
      </c>
      <c r="C8" s="7"/>
      <c r="D8" s="5"/>
      <c r="E8" s="5"/>
      <c r="F8" s="7">
        <f>273.77+3.19+3.19+12.32</f>
        <v>292.46999999999997</v>
      </c>
      <c r="G8" s="6">
        <f>176.44+91.85+5.36</f>
        <v>273.65</v>
      </c>
      <c r="H8" s="6">
        <f>3.19+3.19+12.32</f>
        <v>18.7</v>
      </c>
      <c r="I8" s="6">
        <f>F8-G8-H8</f>
        <v>0.11999999999999389</v>
      </c>
      <c r="J8" s="7">
        <f t="shared" si="0"/>
        <v>3.4068648326375915E-05</v>
      </c>
      <c r="L8" s="8"/>
    </row>
    <row r="9" spans="1:12" ht="15">
      <c r="A9" s="2">
        <v>3</v>
      </c>
      <c r="B9" s="3" t="s">
        <v>29</v>
      </c>
      <c r="C9" s="6" t="s">
        <v>42</v>
      </c>
      <c r="D9" s="5"/>
      <c r="E9" s="5"/>
      <c r="F9" s="6">
        <v>359.725</v>
      </c>
      <c r="G9" s="6">
        <f>198.85+101.43+8.05</f>
        <v>308.33</v>
      </c>
      <c r="H9" s="6">
        <v>0</v>
      </c>
      <c r="I9" s="6">
        <f>8.715</f>
        <v>8.715</v>
      </c>
      <c r="J9" s="7">
        <f t="shared" si="0"/>
        <v>0.002474235584703177</v>
      </c>
      <c r="L9" s="8"/>
    </row>
    <row r="10" spans="1:10" ht="15">
      <c r="A10" s="2">
        <v>4</v>
      </c>
      <c r="B10" s="3" t="s">
        <v>10</v>
      </c>
      <c r="C10" s="6"/>
      <c r="D10" s="5"/>
      <c r="E10" s="5"/>
      <c r="F10" s="6">
        <f>F8+F9</f>
        <v>652.1949999999999</v>
      </c>
      <c r="G10" s="6">
        <f>363.26+199.12+7.4+12.2</f>
        <v>581.98</v>
      </c>
      <c r="H10" s="6">
        <f>H8+H9</f>
        <v>18.7</v>
      </c>
      <c r="I10" s="6">
        <v>0</v>
      </c>
      <c r="J10" s="7">
        <f t="shared" si="0"/>
        <v>0</v>
      </c>
    </row>
    <row r="11" spans="1:10" ht="15">
      <c r="A11" s="39">
        <v>5</v>
      </c>
      <c r="B11" s="3" t="s">
        <v>15</v>
      </c>
      <c r="C11" s="6"/>
      <c r="D11" s="11">
        <v>3830</v>
      </c>
      <c r="E11" s="11">
        <v>3845</v>
      </c>
      <c r="F11" s="21">
        <f>(E11-D11)*10</f>
        <v>150</v>
      </c>
      <c r="G11" s="6">
        <v>0</v>
      </c>
      <c r="H11" s="6">
        <v>0</v>
      </c>
      <c r="I11" s="6">
        <f aca="true" t="shared" si="1" ref="I11:I16">F11-G11-H11</f>
        <v>150</v>
      </c>
      <c r="J11" s="7">
        <f t="shared" si="0"/>
        <v>0.04258581040797206</v>
      </c>
    </row>
    <row r="12" spans="1:10" ht="15">
      <c r="A12" s="40"/>
      <c r="B12" s="3" t="s">
        <v>16</v>
      </c>
      <c r="C12" s="6"/>
      <c r="D12" s="11">
        <v>4690</v>
      </c>
      <c r="E12" s="11">
        <v>4717</v>
      </c>
      <c r="F12" s="21">
        <f>(E12-D12)*10</f>
        <v>270</v>
      </c>
      <c r="G12" s="6">
        <v>0</v>
      </c>
      <c r="H12" s="6">
        <v>0</v>
      </c>
      <c r="I12" s="6">
        <f t="shared" si="1"/>
        <v>270</v>
      </c>
      <c r="J12" s="7">
        <f t="shared" si="0"/>
        <v>0.07665445873434971</v>
      </c>
    </row>
    <row r="13" spans="1:10" ht="15">
      <c r="A13" s="40"/>
      <c r="B13" s="3" t="s">
        <v>17</v>
      </c>
      <c r="C13" s="6"/>
      <c r="D13" s="11">
        <v>39850</v>
      </c>
      <c r="E13" s="11">
        <v>40080</v>
      </c>
      <c r="F13" s="21">
        <f>(E13-D13)*1</f>
        <v>230</v>
      </c>
      <c r="G13" s="6">
        <v>0</v>
      </c>
      <c r="H13" s="6">
        <v>0</v>
      </c>
      <c r="I13" s="6">
        <f t="shared" si="1"/>
        <v>230</v>
      </c>
      <c r="J13" s="7">
        <f t="shared" si="0"/>
        <v>0.06529824262555715</v>
      </c>
    </row>
    <row r="14" spans="1:10" ht="15">
      <c r="A14" s="40"/>
      <c r="B14" s="3" t="s">
        <v>18</v>
      </c>
      <c r="C14" s="6"/>
      <c r="D14" s="11">
        <v>24630</v>
      </c>
      <c r="E14" s="11">
        <v>24747</v>
      </c>
      <c r="F14" s="21">
        <f>(E14-D14)*1</f>
        <v>117</v>
      </c>
      <c r="G14" s="6">
        <v>0</v>
      </c>
      <c r="H14" s="6">
        <v>0</v>
      </c>
      <c r="I14" s="6">
        <f t="shared" si="1"/>
        <v>117</v>
      </c>
      <c r="J14" s="7">
        <f t="shared" si="0"/>
        <v>0.03321693211821821</v>
      </c>
    </row>
    <row r="15" spans="1:10" ht="15">
      <c r="A15" s="41"/>
      <c r="B15" s="3" t="s">
        <v>19</v>
      </c>
      <c r="C15" s="13"/>
      <c r="D15" s="11">
        <v>6080</v>
      </c>
      <c r="E15" s="14">
        <v>6467</v>
      </c>
      <c r="F15" s="7">
        <f>(E15-D15)*1</f>
        <v>387</v>
      </c>
      <c r="G15" s="6">
        <v>0</v>
      </c>
      <c r="H15" s="13">
        <v>0</v>
      </c>
      <c r="I15" s="6">
        <f t="shared" si="1"/>
        <v>387</v>
      </c>
      <c r="J15" s="7">
        <f t="shared" si="0"/>
        <v>0.10987139085256792</v>
      </c>
    </row>
    <row r="16" spans="1:10" ht="15">
      <c r="A16" s="41"/>
      <c r="B16" s="3" t="s">
        <v>20</v>
      </c>
      <c r="C16" s="13"/>
      <c r="D16" s="11">
        <v>8250</v>
      </c>
      <c r="E16" s="14">
        <v>8591</v>
      </c>
      <c r="F16" s="7">
        <f>(E16-D16)*1</f>
        <v>341</v>
      </c>
      <c r="G16" s="13">
        <v>0</v>
      </c>
      <c r="H16" s="13">
        <v>0</v>
      </c>
      <c r="I16" s="13">
        <f t="shared" si="1"/>
        <v>341</v>
      </c>
      <c r="J16" s="7">
        <f t="shared" si="0"/>
        <v>0.09681174232745648</v>
      </c>
    </row>
    <row r="17" spans="1:12" ht="15">
      <c r="A17" s="42"/>
      <c r="B17" s="15" t="s">
        <v>14</v>
      </c>
      <c r="C17" s="15"/>
      <c r="D17" s="16"/>
      <c r="E17" s="15"/>
      <c r="F17" s="17">
        <f>SUM(F11:F16)</f>
        <v>1495</v>
      </c>
      <c r="G17" s="17">
        <f>SUM(G11:G16)</f>
        <v>0</v>
      </c>
      <c r="H17" s="17">
        <f>SUM(H11:H16)</f>
        <v>0</v>
      </c>
      <c r="I17" s="17">
        <f>SUM(I11:I16)</f>
        <v>1495</v>
      </c>
      <c r="J17" s="7">
        <f t="shared" si="0"/>
        <v>0.42443857706612154</v>
      </c>
      <c r="L17" s="8"/>
    </row>
    <row r="18" spans="1:12" ht="15">
      <c r="A18" s="1"/>
      <c r="B18" s="1"/>
      <c r="C18" s="1"/>
      <c r="D18" s="1"/>
      <c r="E18" s="1" t="s">
        <v>21</v>
      </c>
      <c r="F18" s="19">
        <f aca="true" t="shared" si="2" ref="F18:I19">F11+F13+F15</f>
        <v>767</v>
      </c>
      <c r="G18" s="19">
        <f t="shared" si="2"/>
        <v>0</v>
      </c>
      <c r="H18" s="19">
        <f t="shared" si="2"/>
        <v>0</v>
      </c>
      <c r="I18" s="19">
        <f t="shared" si="2"/>
        <v>767</v>
      </c>
      <c r="J18" s="7">
        <f t="shared" si="0"/>
        <v>0.21775544388609713</v>
      </c>
      <c r="K18" s="20"/>
      <c r="L18" s="8"/>
    </row>
    <row r="19" spans="1:10" ht="15">
      <c r="A19" s="1"/>
      <c r="B19" s="1"/>
      <c r="C19" s="27"/>
      <c r="D19" s="1"/>
      <c r="E19" s="1" t="s">
        <v>22</v>
      </c>
      <c r="F19" s="18">
        <f t="shared" si="2"/>
        <v>728</v>
      </c>
      <c r="G19" s="18">
        <f t="shared" si="2"/>
        <v>0</v>
      </c>
      <c r="H19" s="18">
        <f t="shared" si="2"/>
        <v>0</v>
      </c>
      <c r="I19" s="18">
        <f t="shared" si="2"/>
        <v>728</v>
      </c>
      <c r="J19" s="7">
        <f t="shared" si="0"/>
        <v>0.2066831331800244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</sheetData>
  <sheetProtection/>
  <mergeCells count="11">
    <mergeCell ref="H5:H6"/>
    <mergeCell ref="I5:I6"/>
    <mergeCell ref="J5:J6"/>
    <mergeCell ref="A11:A17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2012-11-26T03:37:45Z</cp:lastPrinted>
  <dcterms:created xsi:type="dcterms:W3CDTF">2006-09-16T00:00:00Z</dcterms:created>
  <dcterms:modified xsi:type="dcterms:W3CDTF">2014-02-06T04:28:37Z</dcterms:modified>
  <cp:category/>
  <cp:version/>
  <cp:contentType/>
  <cp:contentStatus/>
</cp:coreProperties>
</file>