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8" activeTab="11"/>
  </bookViews>
  <sheets>
    <sheet name="63.2 (январь)  " sheetId="1" r:id="rId1"/>
    <sheet name="63.2 (февраль)" sheetId="2" r:id="rId2"/>
    <sheet name="63.2 (март)" sheetId="3" r:id="rId3"/>
    <sheet name="63.2 (апрель)" sheetId="4" r:id="rId4"/>
    <sheet name="63.2 (май)" sheetId="5" r:id="rId5"/>
    <sheet name="63.2 (июнь)" sheetId="6" r:id="rId6"/>
    <sheet name="63.2 (июль)" sheetId="7" r:id="rId7"/>
    <sheet name="63.2 (август)" sheetId="8" r:id="rId8"/>
    <sheet name="63.2 (сентябрь)" sheetId="9" r:id="rId9"/>
    <sheet name="63.2 (октябрь)" sheetId="10" r:id="rId10"/>
    <sheet name="63.2 (ноябрь)" sheetId="11" r:id="rId11"/>
    <sheet name="63.2 (декабрь)" sheetId="12" r:id="rId12"/>
  </sheets>
  <definedNames/>
  <calcPr fullCalcOnLoad="1"/>
</workbook>
</file>

<file path=xl/sharedStrings.xml><?xml version="1.0" encoding="utf-8"?>
<sst xmlns="http://schemas.openxmlformats.org/spreadsheetml/2006/main" count="230" uniqueCount="49">
  <si>
    <t xml:space="preserve"> </t>
  </si>
  <si>
    <t>Услуга</t>
  </si>
  <si>
    <t xml:space="preserve">показания общедомового прибора учета </t>
  </si>
  <si>
    <t>начисление по индивидуальным приборам учета и нормативу</t>
  </si>
  <si>
    <t>начисление сторонним потребителям</t>
  </si>
  <si>
    <t>итого к предъявлению ОДН</t>
  </si>
  <si>
    <t>на 1 кв.м</t>
  </si>
  <si>
    <t>показания прибора учета (моп, лифты, дымоудаление)</t>
  </si>
  <si>
    <t>Викулова 63-2</t>
  </si>
  <si>
    <t>ГВС (тонн)</t>
  </si>
  <si>
    <t>водоотведение(тонн)</t>
  </si>
  <si>
    <t>объем потребления</t>
  </si>
  <si>
    <t>показание 1</t>
  </si>
  <si>
    <t>показание 2</t>
  </si>
  <si>
    <t>итого по эл.эн.</t>
  </si>
  <si>
    <t>эл.эн.день № сч.672137</t>
  </si>
  <si>
    <t>эл.эн.ночь № сч.672137</t>
  </si>
  <si>
    <t>эл.эн.день № сч.684335</t>
  </si>
  <si>
    <t>эл.эн.ночь № сч.684335</t>
  </si>
  <si>
    <t>ХВС (тонн)</t>
  </si>
  <si>
    <t>день эл.эн.</t>
  </si>
  <si>
    <t>ночь эл.эн.</t>
  </si>
  <si>
    <t>нагрев воды (Г.кал.)</t>
  </si>
  <si>
    <t>Объем коммунальных услуг по показаниям общедомовых приборов учета (ОДН) за январь в феврале 2015г.</t>
  </si>
  <si>
    <t>59249,/59837</t>
  </si>
  <si>
    <t>Объем коммунальных услуг по показаниям общедомовых приборов учета (ОДН) за февраль в марте 2015г.</t>
  </si>
  <si>
    <t>59837,/60767</t>
  </si>
  <si>
    <t>Объем коммунальных услуг по показаниям общедомовых приборов учета (ОДН) за март в апреле 2015г.</t>
  </si>
  <si>
    <t>60767,/61531</t>
  </si>
  <si>
    <t>Общий объем эл.эн.день</t>
  </si>
  <si>
    <t>Общий объем эл.эн.ночь</t>
  </si>
  <si>
    <t>Объем коммунальных услуг по показаниям общедомовых приборов учета (ОДН) за апрель в мае 2015г.</t>
  </si>
  <si>
    <t>61531/61767,/62431</t>
  </si>
  <si>
    <t>Объем коммунальных услуг по показаниям общедомовых приборов учета (ОДН) за май в июне 2015г.</t>
  </si>
  <si>
    <t>62431,/63299</t>
  </si>
  <si>
    <t>Объем коммунальных услуг по показаниям общедомовых приборов учета (ОДН) за июнь в июле 2015г.</t>
  </si>
  <si>
    <t>63299,/64115</t>
  </si>
  <si>
    <t>Объем коммунальных услуг по показаниям общедомовых приборов учета (ОДН) за июль в августе 2015г.</t>
  </si>
  <si>
    <t>64115,/64887</t>
  </si>
  <si>
    <t>Объем коммунальных услуг по показаниям общедомовых приборов учета (ОДН) за август в сентябре 2015г.</t>
  </si>
  <si>
    <t>64887,/65876</t>
  </si>
  <si>
    <t>Объем коммунальных услуг по показаниям общедомовых приборов учета (ОДН) за сентябрь в октябре 2015г.</t>
  </si>
  <si>
    <t>65876,/66630</t>
  </si>
  <si>
    <t>Объем коммунальных услуг по показаниям общедомовых приборов учета (ОДН) за октябрь в ноябре 2015г.</t>
  </si>
  <si>
    <t>66630/67550</t>
  </si>
  <si>
    <t>Объем коммунальных услуг по показаниям общедомовых приборов учета (ОДН) за ноябрь в декабре 2015г.</t>
  </si>
  <si>
    <t>67550,/68461</t>
  </si>
  <si>
    <t>Объем коммунальных услуг по показаниям общедомовых приборов учета (ОДН) за декабрь в январе 2016г.</t>
  </si>
  <si>
    <t>68461,/69553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</si>
</sst>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0"/>
    <numFmt numFmtId="168" formatCode="#,##0.0000"/>
    <numFmt numFmtId="169" formatCode="#,##0.00000"/>
    <numFmt numFmtId="170" formatCode="#,##0.000000"/>
    <numFmt numFmtId="171" formatCode="#,##0.000"/>
  </numFmts>
  <fonts count="19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24" borderId="12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15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9" sqref="E9"/>
    </sheetView>
  </sheetViews>
  <sheetFormatPr defaultColWidth="9.140625" defaultRowHeight="15"/>
  <cols>
    <col min="1" max="1" width="4.57421875" style="0" customWidth="1"/>
    <col min="2" max="2" width="24.00390625" style="0" customWidth="1"/>
    <col min="3" max="3" width="18.8515625" style="0" customWidth="1"/>
    <col min="4" max="4" width="15.8515625" style="0" customWidth="1"/>
    <col min="5" max="5" width="15.00390625" style="0" customWidth="1"/>
    <col min="6" max="6" width="14.8515625" style="0" customWidth="1"/>
    <col min="7" max="7" width="16.7109375" style="0" customWidth="1"/>
    <col min="8" max="8" width="15.421875" style="0" customWidth="1"/>
    <col min="9" max="9" width="12.57421875" style="0" customWidth="1"/>
    <col min="10" max="10" width="11.8515625" style="0" customWidth="1"/>
    <col min="11" max="11" width="9.57421875" style="0" bestFit="1" customWidth="1"/>
  </cols>
  <sheetData>
    <row r="3" ht="15.75">
      <c r="C3" s="13" t="s">
        <v>23</v>
      </c>
    </row>
    <row r="4" spans="1:10" ht="15">
      <c r="A4" s="33" t="s">
        <v>8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82.5" customHeight="1">
      <c r="A5" s="34" t="s">
        <v>0</v>
      </c>
      <c r="B5" s="36" t="s">
        <v>1</v>
      </c>
      <c r="C5" s="34" t="s">
        <v>2</v>
      </c>
      <c r="D5" s="38" t="s">
        <v>7</v>
      </c>
      <c r="E5" s="39"/>
      <c r="F5" s="34" t="s">
        <v>11</v>
      </c>
      <c r="G5" s="34" t="s">
        <v>3</v>
      </c>
      <c r="H5" s="34" t="s">
        <v>4</v>
      </c>
      <c r="I5" s="34" t="s">
        <v>5</v>
      </c>
      <c r="J5" s="36" t="s">
        <v>6</v>
      </c>
    </row>
    <row r="6" spans="1:10" ht="15.75">
      <c r="A6" s="35"/>
      <c r="B6" s="37"/>
      <c r="C6" s="35"/>
      <c r="D6" s="14" t="s">
        <v>12</v>
      </c>
      <c r="E6" s="15" t="s">
        <v>13</v>
      </c>
      <c r="F6" s="35"/>
      <c r="G6" s="35"/>
      <c r="H6" s="35"/>
      <c r="I6" s="35"/>
      <c r="J6" s="37"/>
    </row>
    <row r="7" spans="1:12" ht="15">
      <c r="A7" s="16">
        <v>1</v>
      </c>
      <c r="B7" s="17" t="s">
        <v>22</v>
      </c>
      <c r="C7" s="16"/>
      <c r="D7" s="18"/>
      <c r="E7" s="19"/>
      <c r="F7" s="20">
        <v>76.4</v>
      </c>
      <c r="G7" s="20">
        <v>31.79656</v>
      </c>
      <c r="H7" s="20">
        <v>0.28</v>
      </c>
      <c r="I7" s="24">
        <v>1.5680742200000002</v>
      </c>
      <c r="J7" s="7">
        <v>0.00016352673556433868</v>
      </c>
      <c r="L7" s="11"/>
    </row>
    <row r="8" spans="1:12" ht="15">
      <c r="A8" s="3">
        <v>2</v>
      </c>
      <c r="B8" s="4" t="s">
        <v>9</v>
      </c>
      <c r="C8" s="7"/>
      <c r="D8" s="5"/>
      <c r="E8" s="5"/>
      <c r="F8" s="7">
        <v>832.84</v>
      </c>
      <c r="G8" s="6">
        <v>665.1999999999999</v>
      </c>
      <c r="H8" s="6">
        <v>3.11</v>
      </c>
      <c r="I8" s="6">
        <v>32.8049</v>
      </c>
      <c r="J8" s="7">
        <v>0.0034210614134798888</v>
      </c>
      <c r="L8" s="11"/>
    </row>
    <row r="9" spans="1:12" ht="15">
      <c r="A9" s="3">
        <v>3</v>
      </c>
      <c r="B9" s="4" t="s">
        <v>19</v>
      </c>
      <c r="C9" s="6" t="s">
        <v>24</v>
      </c>
      <c r="D9" s="5"/>
      <c r="E9" s="5"/>
      <c r="F9" s="6">
        <v>588</v>
      </c>
      <c r="G9" s="6">
        <v>1130.406</v>
      </c>
      <c r="H9" s="6">
        <v>35</v>
      </c>
      <c r="I9" s="6">
        <v>-577.406</v>
      </c>
      <c r="J9" s="7">
        <v>-0.060214827251775446</v>
      </c>
      <c r="L9" s="11"/>
    </row>
    <row r="10" spans="1:10" ht="15">
      <c r="A10" s="3">
        <v>4</v>
      </c>
      <c r="B10" s="4" t="s">
        <v>10</v>
      </c>
      <c r="C10" s="6"/>
      <c r="D10" s="5"/>
      <c r="E10" s="5"/>
      <c r="F10" s="6">
        <v>1420.8400000000001</v>
      </c>
      <c r="G10" s="6">
        <v>1795.606</v>
      </c>
      <c r="H10" s="6">
        <v>38.11</v>
      </c>
      <c r="I10" s="6">
        <v>0</v>
      </c>
      <c r="J10" s="7">
        <v>0</v>
      </c>
    </row>
    <row r="11" spans="1:10" ht="15">
      <c r="A11" s="30">
        <v>5</v>
      </c>
      <c r="B11" s="4" t="s">
        <v>15</v>
      </c>
      <c r="C11" s="6"/>
      <c r="D11" s="8">
        <v>16097</v>
      </c>
      <c r="E11" s="8">
        <v>16245</v>
      </c>
      <c r="F11" s="7">
        <v>1480</v>
      </c>
      <c r="G11" s="6">
        <v>0</v>
      </c>
      <c r="H11" s="6">
        <v>0</v>
      </c>
      <c r="I11" s="6">
        <v>1480</v>
      </c>
      <c r="J11" s="7">
        <v>0.15434190904255873</v>
      </c>
    </row>
    <row r="12" spans="1:10" ht="15">
      <c r="A12" s="31"/>
      <c r="B12" s="4" t="s">
        <v>16</v>
      </c>
      <c r="C12" s="6"/>
      <c r="D12" s="8">
        <v>15868</v>
      </c>
      <c r="E12" s="8">
        <v>16077</v>
      </c>
      <c r="F12" s="7">
        <v>2090</v>
      </c>
      <c r="G12" s="6">
        <v>0</v>
      </c>
      <c r="H12" s="6">
        <v>0</v>
      </c>
      <c r="I12" s="6">
        <v>2090</v>
      </c>
      <c r="J12" s="7">
        <v>0.21795580398577552</v>
      </c>
    </row>
    <row r="13" spans="1:10" ht="15">
      <c r="A13" s="31"/>
      <c r="B13" s="4" t="s">
        <v>17</v>
      </c>
      <c r="C13" s="6"/>
      <c r="D13" s="8">
        <v>19758</v>
      </c>
      <c r="E13" s="8">
        <v>19901</v>
      </c>
      <c r="F13" s="7">
        <v>858</v>
      </c>
      <c r="G13" s="6">
        <v>0</v>
      </c>
      <c r="H13" s="6">
        <v>0</v>
      </c>
      <c r="I13" s="6">
        <v>858</v>
      </c>
      <c r="J13" s="7">
        <v>0.0894765932152131</v>
      </c>
    </row>
    <row r="14" spans="1:10" ht="15">
      <c r="A14" s="31"/>
      <c r="B14" s="4" t="s">
        <v>18</v>
      </c>
      <c r="C14" s="6"/>
      <c r="D14" s="8">
        <v>26199</v>
      </c>
      <c r="E14" s="8">
        <v>26392</v>
      </c>
      <c r="F14" s="7">
        <v>1158</v>
      </c>
      <c r="G14" s="6">
        <v>0</v>
      </c>
      <c r="H14" s="6">
        <v>0</v>
      </c>
      <c r="I14" s="6">
        <v>1158</v>
      </c>
      <c r="J14" s="7">
        <v>0.12076211531843446</v>
      </c>
    </row>
    <row r="15" spans="1:12" ht="15">
      <c r="A15" s="32"/>
      <c r="B15" s="21" t="s">
        <v>14</v>
      </c>
      <c r="C15" s="21"/>
      <c r="D15" s="9"/>
      <c r="E15" s="21"/>
      <c r="F15" s="22">
        <v>5586</v>
      </c>
      <c r="G15" s="22">
        <v>0</v>
      </c>
      <c r="H15" s="22">
        <v>0</v>
      </c>
      <c r="I15" s="22">
        <v>5586</v>
      </c>
      <c r="J15" s="7">
        <v>0.5825364215619818</v>
      </c>
      <c r="K15" s="12"/>
      <c r="L15" s="11"/>
    </row>
    <row r="16" spans="1:12" ht="15">
      <c r="A16" s="1"/>
      <c r="B16" s="1"/>
      <c r="C16" s="1"/>
      <c r="D16" s="1"/>
      <c r="E16" s="1" t="s">
        <v>20</v>
      </c>
      <c r="F16" s="23">
        <v>2338</v>
      </c>
      <c r="G16" s="23">
        <v>0</v>
      </c>
      <c r="H16" s="23">
        <v>0</v>
      </c>
      <c r="I16" s="23">
        <v>2338</v>
      </c>
      <c r="J16" s="7">
        <v>0.24381850225777182</v>
      </c>
      <c r="K16" s="12"/>
      <c r="L16" s="11"/>
    </row>
    <row r="17" spans="1:10" ht="15">
      <c r="A17" s="1"/>
      <c r="B17" s="1"/>
      <c r="C17" s="1"/>
      <c r="D17" s="1"/>
      <c r="E17" s="1" t="s">
        <v>21</v>
      </c>
      <c r="F17" s="10">
        <v>3248</v>
      </c>
      <c r="G17" s="10">
        <v>0</v>
      </c>
      <c r="H17" s="10">
        <v>0</v>
      </c>
      <c r="I17" s="10">
        <v>3248</v>
      </c>
      <c r="J17" s="7">
        <v>0.33871791930420997</v>
      </c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J5:J6"/>
    <mergeCell ref="A11:A15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33"/>
  <sheetViews>
    <sheetView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5" sqref="C5:C6"/>
    </sheetView>
  </sheetViews>
  <sheetFormatPr defaultColWidth="9.140625" defaultRowHeight="15"/>
  <cols>
    <col min="1" max="1" width="4.57421875" style="0" customWidth="1"/>
    <col min="2" max="2" width="24.00390625" style="0" customWidth="1"/>
    <col min="3" max="3" width="18.8515625" style="0" customWidth="1"/>
    <col min="4" max="4" width="14.8515625" style="0" customWidth="1"/>
    <col min="5" max="5" width="16.7109375" style="0" customWidth="1"/>
    <col min="6" max="6" width="15.421875" style="0" customWidth="1"/>
    <col min="7" max="7" width="12.57421875" style="0" customWidth="1"/>
    <col min="8" max="8" width="11.8515625" style="0" customWidth="1"/>
    <col min="9" max="9" width="9.57421875" style="0" bestFit="1" customWidth="1"/>
  </cols>
  <sheetData>
    <row r="3" spans="2:3" ht="15.75">
      <c r="B3" s="13" t="s">
        <v>43</v>
      </c>
      <c r="C3" s="13"/>
    </row>
    <row r="4" spans="1:8" ht="15">
      <c r="A4" s="33" t="s">
        <v>8</v>
      </c>
      <c r="B4" s="33"/>
      <c r="C4" s="33"/>
      <c r="D4" s="33"/>
      <c r="E4" s="33"/>
      <c r="F4" s="33"/>
      <c r="G4" s="33"/>
      <c r="H4" s="33"/>
    </row>
    <row r="5" spans="1:8" ht="82.5" customHeight="1">
      <c r="A5" s="34" t="s">
        <v>0</v>
      </c>
      <c r="B5" s="36" t="s">
        <v>1</v>
      </c>
      <c r="C5" s="34" t="s">
        <v>2</v>
      </c>
      <c r="D5" s="34" t="s">
        <v>11</v>
      </c>
      <c r="E5" s="34" t="s">
        <v>3</v>
      </c>
      <c r="F5" s="34" t="s">
        <v>4</v>
      </c>
      <c r="G5" s="34" t="s">
        <v>5</v>
      </c>
      <c r="H5" s="36" t="s">
        <v>6</v>
      </c>
    </row>
    <row r="6" spans="1:8" ht="15" customHeight="1">
      <c r="A6" s="35"/>
      <c r="B6" s="37"/>
      <c r="C6" s="35"/>
      <c r="D6" s="35"/>
      <c r="E6" s="35"/>
      <c r="F6" s="35"/>
      <c r="G6" s="35"/>
      <c r="H6" s="37"/>
    </row>
    <row r="7" spans="1:10" ht="15">
      <c r="A7" s="16">
        <v>1</v>
      </c>
      <c r="B7" s="17" t="s">
        <v>22</v>
      </c>
      <c r="C7" s="16"/>
      <c r="D7" s="20">
        <f>72.9</f>
        <v>72.9</v>
      </c>
      <c r="E7" s="28">
        <f>E8*0.0478+0.00276</f>
        <v>40.0669036</v>
      </c>
      <c r="F7" s="20">
        <f>0.12+0.12+0.02</f>
        <v>0.26</v>
      </c>
      <c r="G7" s="27">
        <f>32.8049*0.0478-0.0001</f>
        <v>1.5679742200000002</v>
      </c>
      <c r="H7" s="7">
        <f>G7/9571.5</f>
        <v>0.00016381697957477932</v>
      </c>
      <c r="J7" s="11"/>
    </row>
    <row r="8" spans="1:10" ht="15">
      <c r="A8" s="3">
        <v>2</v>
      </c>
      <c r="B8" s="4" t="s">
        <v>9</v>
      </c>
      <c r="C8" s="7"/>
      <c r="D8" s="7">
        <f>806.5</f>
        <v>806.5</v>
      </c>
      <c r="E8" s="27">
        <f>501.202-83.36+386.91+33.41</f>
        <v>838.1619999999999</v>
      </c>
      <c r="F8" s="27">
        <f>1.13+1.09+0.22</f>
        <v>2.44</v>
      </c>
      <c r="G8" s="27">
        <f>D8-E8-F8+1.2348</f>
        <v>-32.86719999999992</v>
      </c>
      <c r="H8" s="7">
        <f aca="true" t="shared" si="0" ref="H8:H13">G8/9571.5</f>
        <v>-0.0034338609413362502</v>
      </c>
      <c r="J8" s="11"/>
    </row>
    <row r="9" spans="1:10" ht="15">
      <c r="A9" s="3">
        <v>3</v>
      </c>
      <c r="B9" s="4" t="s">
        <v>19</v>
      </c>
      <c r="C9" s="6" t="s">
        <v>44</v>
      </c>
      <c r="D9" s="6">
        <f>67550-66630</f>
        <v>920</v>
      </c>
      <c r="E9" s="27">
        <f>548.244-91.374+516.94+33.27</f>
        <v>1007.08</v>
      </c>
      <c r="F9" s="27">
        <f>36</f>
        <v>36</v>
      </c>
      <c r="G9" s="27">
        <f>D9-E9-F9+5.762</f>
        <v>-117.31800000000004</v>
      </c>
      <c r="H9" s="7">
        <f t="shared" si="0"/>
        <v>-0.012257013007365621</v>
      </c>
      <c r="J9" s="11"/>
    </row>
    <row r="10" spans="1:8" ht="15">
      <c r="A10" s="3">
        <v>4</v>
      </c>
      <c r="B10" s="4" t="s">
        <v>10</v>
      </c>
      <c r="C10" s="6"/>
      <c r="D10" s="6">
        <f>D8+D9</f>
        <v>1726.5</v>
      </c>
      <c r="E10" s="27">
        <f>834.612+868.68+53+83.87+5.08</f>
        <v>1845.2419999999997</v>
      </c>
      <c r="F10" s="27">
        <f>F8+F9</f>
        <v>38.44</v>
      </c>
      <c r="G10" s="27">
        <v>0</v>
      </c>
      <c r="H10" s="7">
        <f t="shared" si="0"/>
        <v>0</v>
      </c>
    </row>
    <row r="11" spans="1:8" ht="15">
      <c r="A11" s="30">
        <v>5</v>
      </c>
      <c r="B11" s="26" t="s">
        <v>29</v>
      </c>
      <c r="C11" s="6"/>
      <c r="D11" s="7">
        <f>14990</f>
        <v>14990</v>
      </c>
      <c r="E11" s="27">
        <f>21129</f>
        <v>21129</v>
      </c>
      <c r="F11" s="27">
        <v>0</v>
      </c>
      <c r="G11" s="27">
        <f>D11-E11-F11+548.4294</f>
        <v>-5590.5706</v>
      </c>
      <c r="H11" s="7">
        <f t="shared" si="0"/>
        <v>-0.584085106827561</v>
      </c>
    </row>
    <row r="12" spans="1:8" ht="15">
      <c r="A12" s="31"/>
      <c r="B12" s="26" t="s">
        <v>30</v>
      </c>
      <c r="C12" s="6"/>
      <c r="D12" s="7">
        <f>16240</f>
        <v>16240</v>
      </c>
      <c r="E12" s="27">
        <f>11426</f>
        <v>11426</v>
      </c>
      <c r="F12" s="27">
        <v>0</v>
      </c>
      <c r="G12" s="27">
        <f>D12-E12-F12-512.8587</f>
        <v>4301.1413</v>
      </c>
      <c r="H12" s="7">
        <f t="shared" si="0"/>
        <v>0.44936961813717813</v>
      </c>
    </row>
    <row r="13" spans="1:8" ht="15">
      <c r="A13" s="32"/>
      <c r="B13" s="21" t="s">
        <v>14</v>
      </c>
      <c r="C13" s="21"/>
      <c r="D13" s="22">
        <f>SUM(D11:D12)</f>
        <v>31230</v>
      </c>
      <c r="E13" s="29">
        <f>SUM(E11:E12)</f>
        <v>32555</v>
      </c>
      <c r="F13" s="29">
        <f>SUM(F11:F12)</f>
        <v>0</v>
      </c>
      <c r="G13" s="29">
        <f>SUM(G11:G12)</f>
        <v>-1289.4292999999998</v>
      </c>
      <c r="H13" s="7">
        <f t="shared" si="0"/>
        <v>-0.13471548869038288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G5:G6"/>
    <mergeCell ref="H5:H6"/>
    <mergeCell ref="A11:A13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33"/>
  <sheetViews>
    <sheetView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5" sqref="B5:B6"/>
    </sheetView>
  </sheetViews>
  <sheetFormatPr defaultColWidth="9.140625" defaultRowHeight="15"/>
  <cols>
    <col min="1" max="1" width="4.57421875" style="0" customWidth="1"/>
    <col min="2" max="2" width="24.00390625" style="0" customWidth="1"/>
    <col min="3" max="3" width="18.8515625" style="0" customWidth="1"/>
    <col min="4" max="4" width="14.8515625" style="0" customWidth="1"/>
    <col min="5" max="5" width="16.7109375" style="0" customWidth="1"/>
    <col min="6" max="6" width="15.421875" style="0" customWidth="1"/>
    <col min="7" max="7" width="12.57421875" style="0" customWidth="1"/>
    <col min="8" max="8" width="11.8515625" style="0" customWidth="1"/>
    <col min="9" max="9" width="9.57421875" style="0" bestFit="1" customWidth="1"/>
  </cols>
  <sheetData>
    <row r="3" spans="2:3" ht="15.75">
      <c r="B3" s="13" t="s">
        <v>45</v>
      </c>
      <c r="C3" s="13"/>
    </row>
    <row r="4" spans="1:8" ht="15">
      <c r="A4" s="33" t="s">
        <v>8</v>
      </c>
      <c r="B4" s="33"/>
      <c r="C4" s="33"/>
      <c r="D4" s="33"/>
      <c r="E4" s="33"/>
      <c r="F4" s="33"/>
      <c r="G4" s="33"/>
      <c r="H4" s="33"/>
    </row>
    <row r="5" spans="1:8" ht="82.5" customHeight="1">
      <c r="A5" s="34" t="s">
        <v>0</v>
      </c>
      <c r="B5" s="36" t="s">
        <v>1</v>
      </c>
      <c r="C5" s="34" t="s">
        <v>2</v>
      </c>
      <c r="D5" s="34" t="s">
        <v>11</v>
      </c>
      <c r="E5" s="34" t="s">
        <v>3</v>
      </c>
      <c r="F5" s="34" t="s">
        <v>4</v>
      </c>
      <c r="G5" s="34" t="s">
        <v>5</v>
      </c>
      <c r="H5" s="36" t="s">
        <v>6</v>
      </c>
    </row>
    <row r="6" spans="1:8" ht="15" customHeight="1">
      <c r="A6" s="35"/>
      <c r="B6" s="37"/>
      <c r="C6" s="35"/>
      <c r="D6" s="35"/>
      <c r="E6" s="35"/>
      <c r="F6" s="35"/>
      <c r="G6" s="35"/>
      <c r="H6" s="37"/>
    </row>
    <row r="7" spans="1:10" ht="15">
      <c r="A7" s="16">
        <v>1</v>
      </c>
      <c r="B7" s="17" t="s">
        <v>22</v>
      </c>
      <c r="C7" s="16"/>
      <c r="D7" s="20">
        <f>76.51</f>
        <v>76.51</v>
      </c>
      <c r="E7" s="28">
        <f>E8*0.0478+0.0022</f>
        <v>48.135366000000005</v>
      </c>
      <c r="F7" s="20">
        <f>0.13+0.13+0.03</f>
        <v>0.29000000000000004</v>
      </c>
      <c r="G7" s="27">
        <f>32.8049*0.0478-0.0002</f>
        <v>1.5678742200000002</v>
      </c>
      <c r="H7" s="7">
        <f>G7/9570.8</f>
        <v>0.00016381851255903377</v>
      </c>
      <c r="J7" s="11"/>
    </row>
    <row r="8" spans="1:10" ht="15">
      <c r="A8" s="3">
        <v>2</v>
      </c>
      <c r="B8" s="4" t="s">
        <v>9</v>
      </c>
      <c r="C8" s="7"/>
      <c r="D8" s="7">
        <f>792.2</f>
        <v>792.2</v>
      </c>
      <c r="E8" s="27">
        <f>509.86-84.8+345.59+236.32</f>
        <v>1006.97</v>
      </c>
      <c r="F8" s="27">
        <f>1.16+1.03+0.2</f>
        <v>2.39</v>
      </c>
      <c r="G8" s="27">
        <f>D8-E8-F8+16.1987</f>
        <v>-200.96129999999997</v>
      </c>
      <c r="H8" s="7">
        <f aca="true" t="shared" si="0" ref="H8:H13">G8/9570.8</f>
        <v>-0.020997335645923015</v>
      </c>
      <c r="J8" s="11"/>
    </row>
    <row r="9" spans="1:10" ht="15">
      <c r="A9" s="3">
        <v>3</v>
      </c>
      <c r="B9" s="4" t="s">
        <v>19</v>
      </c>
      <c r="C9" s="6" t="s">
        <v>46</v>
      </c>
      <c r="D9" s="6">
        <f>68461-67550</f>
        <v>911</v>
      </c>
      <c r="E9" s="27">
        <f>558.72-93.12+412.9+260.47</f>
        <v>1138.97</v>
      </c>
      <c r="F9" s="27">
        <f>36</f>
        <v>36</v>
      </c>
      <c r="G9" s="27">
        <f>D9-E9-F9+19.1671</f>
        <v>-244.80290000000002</v>
      </c>
      <c r="H9" s="7">
        <f t="shared" si="0"/>
        <v>-0.025578102144021404</v>
      </c>
      <c r="J9" s="11"/>
    </row>
    <row r="10" spans="1:8" ht="15">
      <c r="A10" s="3">
        <v>4</v>
      </c>
      <c r="B10" s="4" t="s">
        <v>10</v>
      </c>
      <c r="C10" s="6"/>
      <c r="D10" s="6">
        <f>D8+D9</f>
        <v>1703.2</v>
      </c>
      <c r="E10" s="27">
        <f>850.56+753.72+453.06+88.6</f>
        <v>2145.94</v>
      </c>
      <c r="F10" s="27">
        <f>F8+F9</f>
        <v>38.39</v>
      </c>
      <c r="G10" s="27">
        <v>0</v>
      </c>
      <c r="H10" s="7">
        <f t="shared" si="0"/>
        <v>0</v>
      </c>
    </row>
    <row r="11" spans="1:8" ht="15">
      <c r="A11" s="30">
        <v>5</v>
      </c>
      <c r="B11" s="26" t="s">
        <v>29</v>
      </c>
      <c r="C11" s="6"/>
      <c r="D11" s="7">
        <f>28890</f>
        <v>28890</v>
      </c>
      <c r="E11" s="27">
        <f>11397</f>
        <v>11397</v>
      </c>
      <c r="F11" s="27">
        <v>0</v>
      </c>
      <c r="G11" s="27">
        <f>7131.5-0.0001</f>
        <v>7131.4999</v>
      </c>
      <c r="H11" s="7">
        <f t="shared" si="0"/>
        <v>0.7451310130814561</v>
      </c>
    </row>
    <row r="12" spans="1:8" ht="15">
      <c r="A12" s="31"/>
      <c r="B12" s="26" t="s">
        <v>30</v>
      </c>
      <c r="C12" s="6"/>
      <c r="D12" s="7">
        <v>9093</v>
      </c>
      <c r="E12" s="27">
        <f>2159</f>
        <v>2159</v>
      </c>
      <c r="F12" s="27">
        <v>0</v>
      </c>
      <c r="G12" s="27">
        <v>0</v>
      </c>
      <c r="H12" s="7">
        <f t="shared" si="0"/>
        <v>0</v>
      </c>
    </row>
    <row r="13" spans="1:8" ht="15">
      <c r="A13" s="32"/>
      <c r="B13" s="21" t="s">
        <v>14</v>
      </c>
      <c r="C13" s="21"/>
      <c r="D13" s="22">
        <f>SUM(D11:D12)</f>
        <v>37983</v>
      </c>
      <c r="E13" s="29">
        <f>SUM(E11:E12)</f>
        <v>13556</v>
      </c>
      <c r="F13" s="29">
        <f>SUM(F11:F12)</f>
        <v>0</v>
      </c>
      <c r="G13" s="29">
        <f>SUM(G11:G12)</f>
        <v>7131.4999</v>
      </c>
      <c r="H13" s="7">
        <f t="shared" si="0"/>
        <v>0.7451310130814561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G5:G6"/>
    <mergeCell ref="H5:H6"/>
    <mergeCell ref="A11:A13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J33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D5" sqref="D5:D6"/>
    </sheetView>
  </sheetViews>
  <sheetFormatPr defaultColWidth="9.140625" defaultRowHeight="15"/>
  <cols>
    <col min="1" max="1" width="4.57421875" style="0" customWidth="1"/>
    <col min="2" max="2" width="24.00390625" style="0" customWidth="1"/>
    <col min="3" max="3" width="18.8515625" style="0" customWidth="1"/>
    <col min="4" max="4" width="14.8515625" style="0" customWidth="1"/>
    <col min="5" max="5" width="16.7109375" style="0" customWidth="1"/>
    <col min="6" max="6" width="15.421875" style="0" customWidth="1"/>
    <col min="7" max="7" width="12.57421875" style="0" customWidth="1"/>
    <col min="8" max="8" width="11.8515625" style="0" customWidth="1"/>
    <col min="9" max="9" width="9.57421875" style="0" bestFit="1" customWidth="1"/>
  </cols>
  <sheetData>
    <row r="3" spans="2:3" ht="15.75">
      <c r="B3" s="13" t="s">
        <v>47</v>
      </c>
      <c r="C3" s="13"/>
    </row>
    <row r="4" spans="1:8" ht="15">
      <c r="A4" s="33" t="s">
        <v>8</v>
      </c>
      <c r="B4" s="33"/>
      <c r="C4" s="33"/>
      <c r="D4" s="33"/>
      <c r="E4" s="33"/>
      <c r="F4" s="33"/>
      <c r="G4" s="33"/>
      <c r="H4" s="33"/>
    </row>
    <row r="5" spans="1:8" ht="82.5" customHeight="1">
      <c r="A5" s="34" t="s">
        <v>0</v>
      </c>
      <c r="B5" s="36" t="s">
        <v>1</v>
      </c>
      <c r="C5" s="34" t="s">
        <v>2</v>
      </c>
      <c r="D5" s="34" t="s">
        <v>11</v>
      </c>
      <c r="E5" s="34" t="s">
        <v>3</v>
      </c>
      <c r="F5" s="34" t="s">
        <v>4</v>
      </c>
      <c r="G5" s="34" t="s">
        <v>5</v>
      </c>
      <c r="H5" s="36" t="s">
        <v>6</v>
      </c>
    </row>
    <row r="6" spans="1:8" ht="15" customHeight="1">
      <c r="A6" s="35"/>
      <c r="B6" s="37"/>
      <c r="C6" s="35"/>
      <c r="D6" s="35"/>
      <c r="E6" s="35"/>
      <c r="F6" s="35"/>
      <c r="G6" s="35"/>
      <c r="H6" s="37"/>
    </row>
    <row r="7" spans="1:10" ht="15">
      <c r="A7" s="16">
        <v>1</v>
      </c>
      <c r="B7" s="17" t="s">
        <v>22</v>
      </c>
      <c r="C7" s="16"/>
      <c r="D7" s="20">
        <f>83.51</f>
        <v>83.51</v>
      </c>
      <c r="E7" s="28">
        <f>E8*0.0478+0.0025</f>
        <v>40.372946</v>
      </c>
      <c r="F7" s="20">
        <f>0.14+0.14+0.03</f>
        <v>0.31000000000000005</v>
      </c>
      <c r="G7" s="27">
        <f>32.8049*0.0478-0.0002</f>
        <v>1.5678742200000002</v>
      </c>
      <c r="H7" s="7">
        <f>G7/9570.7</f>
        <v>0.00016382022422602318</v>
      </c>
      <c r="J7" s="11"/>
    </row>
    <row r="8" spans="1:10" ht="15">
      <c r="A8" s="3">
        <v>2</v>
      </c>
      <c r="B8" s="4" t="s">
        <v>9</v>
      </c>
      <c r="C8" s="7"/>
      <c r="D8" s="7">
        <f>835.1</f>
        <v>835.1</v>
      </c>
      <c r="E8" s="27">
        <f>639.54-182.4+362.17+25.26</f>
        <v>844.5699999999999</v>
      </c>
      <c r="F8" s="27">
        <f>1.2+1.1+0.22</f>
        <v>2.52</v>
      </c>
      <c r="G8" s="27">
        <f>D8-E8-F8+0.0804</f>
        <v>-11.909599999999914</v>
      </c>
      <c r="H8" s="7">
        <f aca="true" t="shared" si="0" ref="H8:H13">G8/9570.7</f>
        <v>-0.0012443812887249536</v>
      </c>
      <c r="J8" s="11"/>
    </row>
    <row r="9" spans="1:10" ht="15">
      <c r="A9" s="3">
        <v>3</v>
      </c>
      <c r="B9" s="4" t="s">
        <v>19</v>
      </c>
      <c r="C9" s="6" t="s">
        <v>48</v>
      </c>
      <c r="D9" s="6">
        <f>69553-68461</f>
        <v>1092</v>
      </c>
      <c r="E9" s="27">
        <f>645.05-184.3+565.92+8.52</f>
        <v>1035.1899999999998</v>
      </c>
      <c r="F9" s="27">
        <f>40</f>
        <v>40</v>
      </c>
      <c r="G9" s="27">
        <f>D9-E9-F9</f>
        <v>16.810000000000173</v>
      </c>
      <c r="H9" s="7">
        <f t="shared" si="0"/>
        <v>0.0017564023530149489</v>
      </c>
      <c r="J9" s="11"/>
    </row>
    <row r="10" spans="1:8" ht="15">
      <c r="A10" s="3">
        <v>4</v>
      </c>
      <c r="B10" s="4" t="s">
        <v>10</v>
      </c>
      <c r="C10" s="6"/>
      <c r="D10" s="6">
        <f>D8+D9</f>
        <v>1927.1</v>
      </c>
      <c r="E10" s="27">
        <f>841.7+811.34+89.81+119.45+17.46</f>
        <v>1879.76</v>
      </c>
      <c r="F10" s="27">
        <f>F8+F9</f>
        <v>42.52</v>
      </c>
      <c r="G10" s="27">
        <v>0</v>
      </c>
      <c r="H10" s="7">
        <f t="shared" si="0"/>
        <v>0</v>
      </c>
    </row>
    <row r="11" spans="1:8" ht="15">
      <c r="A11" s="30">
        <v>5</v>
      </c>
      <c r="B11" s="26" t="s">
        <v>29</v>
      </c>
      <c r="C11" s="6"/>
      <c r="D11" s="7">
        <f>20514</f>
        <v>20514</v>
      </c>
      <c r="E11" s="27">
        <f>20642-256</f>
        <v>20386</v>
      </c>
      <c r="F11" s="27">
        <v>0</v>
      </c>
      <c r="G11" s="27">
        <f>D11-E11-F11+0.0018</f>
        <v>128.0018</v>
      </c>
      <c r="H11" s="7">
        <f t="shared" si="0"/>
        <v>0.013374340434868922</v>
      </c>
    </row>
    <row r="12" spans="1:8" ht="15">
      <c r="A12" s="31"/>
      <c r="B12" s="26" t="s">
        <v>30</v>
      </c>
      <c r="C12" s="6"/>
      <c r="D12" s="7">
        <v>6389</v>
      </c>
      <c r="E12" s="27">
        <f>8790</f>
        <v>8790</v>
      </c>
      <c r="F12" s="27">
        <v>0</v>
      </c>
      <c r="G12" s="27">
        <f>D12-E12-F12+52.0012</f>
        <v>-2348.9988</v>
      </c>
      <c r="H12" s="7">
        <f t="shared" si="0"/>
        <v>-0.24543646755200765</v>
      </c>
    </row>
    <row r="13" spans="1:8" ht="15">
      <c r="A13" s="32"/>
      <c r="B13" s="21" t="s">
        <v>14</v>
      </c>
      <c r="C13" s="21"/>
      <c r="D13" s="22">
        <f>SUM(D11:D12)</f>
        <v>26903</v>
      </c>
      <c r="E13" s="29">
        <f>SUM(E11:E12)</f>
        <v>29176</v>
      </c>
      <c r="F13" s="29">
        <f>SUM(F11:F12)</f>
        <v>0</v>
      </c>
      <c r="G13" s="29">
        <f>SUM(G11:G12)</f>
        <v>-2220.997</v>
      </c>
      <c r="H13" s="7">
        <f t="shared" si="0"/>
        <v>-0.23206212711713872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G5:G6"/>
    <mergeCell ref="H5:H6"/>
    <mergeCell ref="A11:A13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7"/>
  <sheetViews>
    <sheetView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4" sqref="A4:J4"/>
    </sheetView>
  </sheetViews>
  <sheetFormatPr defaultColWidth="9.140625" defaultRowHeight="15"/>
  <cols>
    <col min="1" max="1" width="4.57421875" style="0" customWidth="1"/>
    <col min="2" max="2" width="24.00390625" style="0" customWidth="1"/>
    <col min="3" max="3" width="18.8515625" style="0" customWidth="1"/>
    <col min="4" max="4" width="15.8515625" style="0" customWidth="1"/>
    <col min="5" max="5" width="15.00390625" style="0" customWidth="1"/>
    <col min="6" max="6" width="14.8515625" style="0" customWidth="1"/>
    <col min="7" max="7" width="16.7109375" style="0" customWidth="1"/>
    <col min="8" max="8" width="15.421875" style="0" customWidth="1"/>
    <col min="9" max="9" width="12.57421875" style="0" customWidth="1"/>
    <col min="10" max="10" width="11.8515625" style="0" customWidth="1"/>
    <col min="11" max="11" width="9.57421875" style="0" bestFit="1" customWidth="1"/>
  </cols>
  <sheetData>
    <row r="3" ht="15.75">
      <c r="C3" s="13" t="s">
        <v>25</v>
      </c>
    </row>
    <row r="4" spans="1:10" ht="15">
      <c r="A4" s="33" t="s">
        <v>8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82.5" customHeight="1">
      <c r="A5" s="34" t="s">
        <v>0</v>
      </c>
      <c r="B5" s="36" t="s">
        <v>1</v>
      </c>
      <c r="C5" s="34" t="s">
        <v>2</v>
      </c>
      <c r="D5" s="38" t="s">
        <v>7</v>
      </c>
      <c r="E5" s="39"/>
      <c r="F5" s="34" t="s">
        <v>11</v>
      </c>
      <c r="G5" s="34" t="s">
        <v>3</v>
      </c>
      <c r="H5" s="34" t="s">
        <v>4</v>
      </c>
      <c r="I5" s="34" t="s">
        <v>5</v>
      </c>
      <c r="J5" s="36" t="s">
        <v>6</v>
      </c>
    </row>
    <row r="6" spans="1:10" ht="15.75">
      <c r="A6" s="35"/>
      <c r="B6" s="37"/>
      <c r="C6" s="35"/>
      <c r="D6" s="14" t="s">
        <v>12</v>
      </c>
      <c r="E6" s="15" t="s">
        <v>13</v>
      </c>
      <c r="F6" s="35"/>
      <c r="G6" s="35"/>
      <c r="H6" s="35"/>
      <c r="I6" s="35"/>
      <c r="J6" s="37"/>
    </row>
    <row r="7" spans="1:12" ht="15">
      <c r="A7" s="16">
        <v>1</v>
      </c>
      <c r="B7" s="17" t="s">
        <v>22</v>
      </c>
      <c r="C7" s="16"/>
      <c r="D7" s="18"/>
      <c r="E7" s="19"/>
      <c r="F7" s="20">
        <f>29.04+41.42+0.12+0.09+0.05</f>
        <v>70.72000000000001</v>
      </c>
      <c r="G7" s="20">
        <f>G8*0.0478</f>
        <v>41.81178808000001</v>
      </c>
      <c r="H7" s="20">
        <f>0.12+0.09+0.05</f>
        <v>0.26</v>
      </c>
      <c r="I7" s="6">
        <f>32.8049*0.0478</f>
        <v>1.5680742200000002</v>
      </c>
      <c r="J7" s="7">
        <f>I7/9589</f>
        <v>0.00016352844092188968</v>
      </c>
      <c r="L7" s="11"/>
    </row>
    <row r="8" spans="1:12" ht="15">
      <c r="A8" s="3">
        <v>2</v>
      </c>
      <c r="B8" s="4" t="s">
        <v>9</v>
      </c>
      <c r="C8" s="7"/>
      <c r="D8" s="5"/>
      <c r="E8" s="5"/>
      <c r="F8" s="7">
        <f>340.23+426.11+1.27+1.06+0.53</f>
        <v>769.1999999999999</v>
      </c>
      <c r="G8" s="6">
        <f>464.6426+382.801+27.28</f>
        <v>874.7236</v>
      </c>
      <c r="H8" s="6">
        <f>1.27+1.06+0.53</f>
        <v>2.8600000000000003</v>
      </c>
      <c r="I8" s="6">
        <f>F8-G8-H8</f>
        <v>-108.3836000000001</v>
      </c>
      <c r="J8" s="7">
        <f aca="true" t="shared" si="0" ref="J8:J17">I8/9589</f>
        <v>-0.011302909583898227</v>
      </c>
      <c r="L8" s="11"/>
    </row>
    <row r="9" spans="1:12" ht="15">
      <c r="A9" s="3">
        <v>3</v>
      </c>
      <c r="B9" s="4" t="s">
        <v>19</v>
      </c>
      <c r="C9" s="6" t="s">
        <v>26</v>
      </c>
      <c r="D9" s="5"/>
      <c r="E9" s="5"/>
      <c r="F9" s="6">
        <f>60767-59837</f>
        <v>930</v>
      </c>
      <c r="G9" s="6">
        <f>553.5258+438.002+32.16</f>
        <v>1023.6878</v>
      </c>
      <c r="H9" s="6">
        <f>39</f>
        <v>39</v>
      </c>
      <c r="I9" s="6">
        <f>F9-G9-H9</f>
        <v>-132.68780000000004</v>
      </c>
      <c r="J9" s="7">
        <f t="shared" si="0"/>
        <v>-0.01383750130357702</v>
      </c>
      <c r="L9" s="11"/>
    </row>
    <row r="10" spans="1:10" ht="15">
      <c r="A10" s="3">
        <v>4</v>
      </c>
      <c r="B10" s="4" t="s">
        <v>10</v>
      </c>
      <c r="C10" s="6"/>
      <c r="D10" s="5"/>
      <c r="E10" s="5"/>
      <c r="F10" s="6">
        <f>F8+F9</f>
        <v>1699.1999999999998</v>
      </c>
      <c r="G10" s="6">
        <f>1011.1832+834.843+44.3+3.9458</f>
        <v>1894.272</v>
      </c>
      <c r="H10" s="6">
        <f>H8+H9</f>
        <v>41.86</v>
      </c>
      <c r="I10" s="6">
        <v>0</v>
      </c>
      <c r="J10" s="7">
        <f t="shared" si="0"/>
        <v>0</v>
      </c>
    </row>
    <row r="11" spans="1:10" ht="15">
      <c r="A11" s="30">
        <v>5</v>
      </c>
      <c r="B11" s="4" t="s">
        <v>15</v>
      </c>
      <c r="C11" s="6"/>
      <c r="D11" s="8">
        <v>16245</v>
      </c>
      <c r="E11" s="8">
        <v>16417</v>
      </c>
      <c r="F11" s="7">
        <f>(E11-D11)*10</f>
        <v>1720</v>
      </c>
      <c r="G11" s="6">
        <v>0</v>
      </c>
      <c r="H11" s="6">
        <v>0</v>
      </c>
      <c r="I11" s="6">
        <f>F11-G11-H11</f>
        <v>1720</v>
      </c>
      <c r="J11" s="7">
        <f t="shared" si="0"/>
        <v>0.17937219730941703</v>
      </c>
    </row>
    <row r="12" spans="1:10" ht="15">
      <c r="A12" s="31"/>
      <c r="B12" s="4" t="s">
        <v>16</v>
      </c>
      <c r="C12" s="6"/>
      <c r="D12" s="8">
        <v>16077</v>
      </c>
      <c r="E12" s="8">
        <v>16257</v>
      </c>
      <c r="F12" s="7">
        <f>(E12-D12)*10</f>
        <v>1800</v>
      </c>
      <c r="G12" s="6">
        <v>0</v>
      </c>
      <c r="H12" s="6">
        <v>0</v>
      </c>
      <c r="I12" s="6">
        <f>F12-G12-H12</f>
        <v>1800</v>
      </c>
      <c r="J12" s="7">
        <f t="shared" si="0"/>
        <v>0.18771509020752947</v>
      </c>
    </row>
    <row r="13" spans="1:10" ht="15">
      <c r="A13" s="31"/>
      <c r="B13" s="4" t="s">
        <v>17</v>
      </c>
      <c r="C13" s="6"/>
      <c r="D13" s="8">
        <v>19901</v>
      </c>
      <c r="E13" s="8">
        <v>20035</v>
      </c>
      <c r="F13" s="7">
        <f>(E13-D13)*6</f>
        <v>804</v>
      </c>
      <c r="G13" s="6">
        <v>0</v>
      </c>
      <c r="H13" s="6">
        <v>0</v>
      </c>
      <c r="I13" s="6">
        <f>F13-G13-H13</f>
        <v>804</v>
      </c>
      <c r="J13" s="7">
        <f t="shared" si="0"/>
        <v>0.08384607362602983</v>
      </c>
    </row>
    <row r="14" spans="1:10" ht="15">
      <c r="A14" s="31"/>
      <c r="B14" s="4" t="s">
        <v>18</v>
      </c>
      <c r="C14" s="6"/>
      <c r="D14" s="8">
        <v>26392</v>
      </c>
      <c r="E14" s="8">
        <v>26579</v>
      </c>
      <c r="F14" s="7">
        <f>(E14-D14)*6</f>
        <v>1122</v>
      </c>
      <c r="G14" s="6">
        <v>0</v>
      </c>
      <c r="H14" s="6">
        <v>0</v>
      </c>
      <c r="I14" s="6">
        <f>F14-G14-H14</f>
        <v>1122</v>
      </c>
      <c r="J14" s="7">
        <f t="shared" si="0"/>
        <v>0.1170090728960267</v>
      </c>
    </row>
    <row r="15" spans="1:12" ht="15">
      <c r="A15" s="32"/>
      <c r="B15" s="21" t="s">
        <v>14</v>
      </c>
      <c r="C15" s="21"/>
      <c r="D15" s="9"/>
      <c r="E15" s="21"/>
      <c r="F15" s="22">
        <f>SUM(F11:F14)</f>
        <v>5446</v>
      </c>
      <c r="G15" s="22">
        <f>SUM(G11:G14)</f>
        <v>0</v>
      </c>
      <c r="H15" s="22">
        <f>SUM(H11:H14)</f>
        <v>0</v>
      </c>
      <c r="I15" s="22">
        <f>SUM(I11:I14)</f>
        <v>5446</v>
      </c>
      <c r="J15" s="7">
        <f t="shared" si="0"/>
        <v>0.567942434039003</v>
      </c>
      <c r="K15" s="12"/>
      <c r="L15" s="11"/>
    </row>
    <row r="16" spans="1:12" ht="15">
      <c r="A16" s="1"/>
      <c r="B16" s="1"/>
      <c r="C16" s="1"/>
      <c r="D16" s="1"/>
      <c r="E16" s="1" t="s">
        <v>20</v>
      </c>
      <c r="F16" s="23">
        <f aca="true" t="shared" si="1" ref="F16:I17">F11+F13</f>
        <v>2524</v>
      </c>
      <c r="G16" s="23">
        <f t="shared" si="1"/>
        <v>0</v>
      </c>
      <c r="H16" s="23">
        <f t="shared" si="1"/>
        <v>0</v>
      </c>
      <c r="I16" s="23">
        <f t="shared" si="1"/>
        <v>2524</v>
      </c>
      <c r="J16" s="7">
        <f t="shared" si="0"/>
        <v>0.26321827093544686</v>
      </c>
      <c r="K16" s="12"/>
      <c r="L16" s="11"/>
    </row>
    <row r="17" spans="1:10" ht="15">
      <c r="A17" s="1"/>
      <c r="B17" s="1"/>
      <c r="C17" s="1"/>
      <c r="D17" s="1"/>
      <c r="E17" s="1" t="s">
        <v>21</v>
      </c>
      <c r="F17" s="10">
        <f t="shared" si="1"/>
        <v>2922</v>
      </c>
      <c r="G17" s="10">
        <f t="shared" si="1"/>
        <v>0</v>
      </c>
      <c r="H17" s="10">
        <f t="shared" si="1"/>
        <v>0</v>
      </c>
      <c r="I17" s="10">
        <f t="shared" si="1"/>
        <v>2922</v>
      </c>
      <c r="J17" s="7">
        <f t="shared" si="0"/>
        <v>0.30472416310355616</v>
      </c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I5:I6"/>
    <mergeCell ref="J5:J6"/>
    <mergeCell ref="A11:A15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33"/>
  <sheetViews>
    <sheetView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5" sqref="B5:B6"/>
    </sheetView>
  </sheetViews>
  <sheetFormatPr defaultColWidth="9.140625" defaultRowHeight="15"/>
  <cols>
    <col min="1" max="1" width="4.57421875" style="0" customWidth="1"/>
    <col min="2" max="2" width="24.00390625" style="0" customWidth="1"/>
    <col min="3" max="3" width="18.8515625" style="0" customWidth="1"/>
    <col min="4" max="4" width="14.8515625" style="0" customWidth="1"/>
    <col min="5" max="5" width="16.7109375" style="0" customWidth="1"/>
    <col min="6" max="6" width="15.421875" style="0" customWidth="1"/>
    <col min="7" max="7" width="12.57421875" style="0" customWidth="1"/>
    <col min="8" max="8" width="11.8515625" style="0" customWidth="1"/>
    <col min="9" max="9" width="9.57421875" style="0" bestFit="1" customWidth="1"/>
  </cols>
  <sheetData>
    <row r="3" spans="2:3" ht="15.75">
      <c r="B3" s="13" t="s">
        <v>27</v>
      </c>
      <c r="C3" s="13"/>
    </row>
    <row r="4" spans="1:8" ht="15">
      <c r="A4" s="33" t="s">
        <v>8</v>
      </c>
      <c r="B4" s="33"/>
      <c r="C4" s="33"/>
      <c r="D4" s="33"/>
      <c r="E4" s="33"/>
      <c r="F4" s="33"/>
      <c r="G4" s="33"/>
      <c r="H4" s="33"/>
    </row>
    <row r="5" spans="1:8" ht="82.5" customHeight="1">
      <c r="A5" s="34" t="s">
        <v>0</v>
      </c>
      <c r="B5" s="36" t="s">
        <v>1</v>
      </c>
      <c r="C5" s="34" t="s">
        <v>2</v>
      </c>
      <c r="D5" s="34" t="s">
        <v>11</v>
      </c>
      <c r="E5" s="34" t="s">
        <v>3</v>
      </c>
      <c r="F5" s="34" t="s">
        <v>4</v>
      </c>
      <c r="G5" s="34" t="s">
        <v>5</v>
      </c>
      <c r="H5" s="36" t="s">
        <v>6</v>
      </c>
    </row>
    <row r="6" spans="1:8" ht="15" customHeight="1">
      <c r="A6" s="35"/>
      <c r="B6" s="37"/>
      <c r="C6" s="35"/>
      <c r="D6" s="35"/>
      <c r="E6" s="35"/>
      <c r="F6" s="35"/>
      <c r="G6" s="35"/>
      <c r="H6" s="37"/>
    </row>
    <row r="7" spans="1:10" ht="15">
      <c r="A7" s="16">
        <v>1</v>
      </c>
      <c r="B7" s="17" t="s">
        <v>22</v>
      </c>
      <c r="C7" s="16"/>
      <c r="D7" s="20">
        <f>32.85+46.02+0.14+0.1+0.06</f>
        <v>79.17</v>
      </c>
      <c r="E7" s="20">
        <f>E8*0.0478</f>
        <v>35.191077</v>
      </c>
      <c r="F7" s="20">
        <f>0.14+0.1+0.06</f>
        <v>0.30000000000000004</v>
      </c>
      <c r="G7" s="6">
        <f>G8*0.0478</f>
        <v>1.5680742200000002</v>
      </c>
      <c r="H7" s="7">
        <f>G7/9589</f>
        <v>0.00016352844092188968</v>
      </c>
      <c r="J7" s="11"/>
    </row>
    <row r="8" spans="1:10" ht="15">
      <c r="A8" s="3">
        <v>2</v>
      </c>
      <c r="B8" s="4" t="s">
        <v>9</v>
      </c>
      <c r="C8" s="7"/>
      <c r="D8" s="7">
        <f>380.81+467.66+1.49+1.23+0.61</f>
        <v>851.8000000000001</v>
      </c>
      <c r="E8" s="6">
        <f>447.115+274.59+14.51</f>
        <v>736.2149999999999</v>
      </c>
      <c r="F8" s="6">
        <f>1.49+1.23+0.61</f>
        <v>3.3299999999999996</v>
      </c>
      <c r="G8" s="6">
        <f>32.8049</f>
        <v>32.8049</v>
      </c>
      <c r="H8" s="7">
        <f aca="true" t="shared" si="0" ref="H8:H13">G8/9589</f>
        <v>0.0034210970904161022</v>
      </c>
      <c r="J8" s="11"/>
    </row>
    <row r="9" spans="1:10" ht="15">
      <c r="A9" s="3">
        <v>3</v>
      </c>
      <c r="B9" s="4" t="s">
        <v>19</v>
      </c>
      <c r="C9" s="6" t="s">
        <v>28</v>
      </c>
      <c r="D9" s="6">
        <f>61531-60767</f>
        <v>764</v>
      </c>
      <c r="E9" s="6">
        <f>542.715+304.4+4.88</f>
        <v>851.995</v>
      </c>
      <c r="F9" s="6">
        <f>34</f>
        <v>34</v>
      </c>
      <c r="G9" s="6">
        <f>-109.1005</f>
        <v>-109.1005</v>
      </c>
      <c r="H9" s="7">
        <f t="shared" si="0"/>
        <v>-0.011377672332881426</v>
      </c>
      <c r="J9" s="11"/>
    </row>
    <row r="10" spans="1:8" ht="15">
      <c r="A10" s="3">
        <v>4</v>
      </c>
      <c r="B10" s="4" t="s">
        <v>10</v>
      </c>
      <c r="C10" s="6"/>
      <c r="D10" s="6">
        <f>D8+D9</f>
        <v>1615.8000000000002</v>
      </c>
      <c r="E10" s="6">
        <f>974.6+576.71+8.66+1.025+27.215</f>
        <v>1588.21</v>
      </c>
      <c r="F10" s="6">
        <f>F8+F9</f>
        <v>37.33</v>
      </c>
      <c r="G10" s="6">
        <v>0</v>
      </c>
      <c r="H10" s="7">
        <f t="shared" si="0"/>
        <v>0</v>
      </c>
    </row>
    <row r="11" spans="1:8" ht="15">
      <c r="A11" s="30">
        <v>5</v>
      </c>
      <c r="B11" s="25" t="s">
        <v>29</v>
      </c>
      <c r="C11" s="6"/>
      <c r="D11" s="7">
        <v>4340</v>
      </c>
      <c r="E11" s="6">
        <v>16351</v>
      </c>
      <c r="F11" s="6">
        <v>0</v>
      </c>
      <c r="G11" s="6">
        <v>-9234.0745</v>
      </c>
      <c r="H11" s="7">
        <f t="shared" si="0"/>
        <v>-0.9629861820836376</v>
      </c>
    </row>
    <row r="12" spans="1:8" ht="15">
      <c r="A12" s="31"/>
      <c r="B12" s="25" t="s">
        <v>30</v>
      </c>
      <c r="C12" s="6"/>
      <c r="D12" s="7">
        <v>16610</v>
      </c>
      <c r="E12" s="6">
        <v>12790</v>
      </c>
      <c r="F12" s="6">
        <v>0</v>
      </c>
      <c r="G12" s="6">
        <f>2024.5955</f>
        <v>2024.5955</v>
      </c>
      <c r="H12" s="7">
        <f t="shared" si="0"/>
        <v>0.21113729273125456</v>
      </c>
    </row>
    <row r="13" spans="1:8" ht="15">
      <c r="A13" s="32"/>
      <c r="B13" s="21" t="s">
        <v>14</v>
      </c>
      <c r="C13" s="21"/>
      <c r="D13" s="22">
        <f>SUM(D11:D12)</f>
        <v>20950</v>
      </c>
      <c r="E13" s="22">
        <f>SUM(E11:E12)</f>
        <v>29141</v>
      </c>
      <c r="F13" s="22">
        <f>SUM(F11:F12)</f>
        <v>0</v>
      </c>
      <c r="G13" s="22">
        <f>SUM(G11:G12)</f>
        <v>-7209.479000000001</v>
      </c>
      <c r="H13" s="7">
        <f t="shared" si="0"/>
        <v>-0.751848889352383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G5:G6"/>
    <mergeCell ref="H5:H6"/>
    <mergeCell ref="A11:A13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3"/>
  <sheetViews>
    <sheetView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5" sqref="B5:B6"/>
    </sheetView>
  </sheetViews>
  <sheetFormatPr defaultColWidth="9.140625" defaultRowHeight="15"/>
  <cols>
    <col min="1" max="1" width="4.57421875" style="0" customWidth="1"/>
    <col min="2" max="2" width="24.00390625" style="0" customWidth="1"/>
    <col min="3" max="3" width="18.8515625" style="0" customWidth="1"/>
    <col min="4" max="4" width="14.8515625" style="0" customWidth="1"/>
    <col min="5" max="5" width="16.7109375" style="0" customWidth="1"/>
    <col min="6" max="6" width="15.421875" style="0" customWidth="1"/>
    <col min="7" max="7" width="12.57421875" style="0" customWidth="1"/>
    <col min="8" max="8" width="11.8515625" style="0" customWidth="1"/>
    <col min="9" max="9" width="9.57421875" style="0" bestFit="1" customWidth="1"/>
  </cols>
  <sheetData>
    <row r="3" spans="2:3" ht="15.75">
      <c r="B3" s="13" t="s">
        <v>31</v>
      </c>
      <c r="C3" s="13"/>
    </row>
    <row r="4" spans="1:8" ht="15">
      <c r="A4" s="33" t="s">
        <v>8</v>
      </c>
      <c r="B4" s="33"/>
      <c r="C4" s="33"/>
      <c r="D4" s="33"/>
      <c r="E4" s="33"/>
      <c r="F4" s="33"/>
      <c r="G4" s="33"/>
      <c r="H4" s="33"/>
    </row>
    <row r="5" spans="1:8" ht="82.5" customHeight="1">
      <c r="A5" s="34" t="s">
        <v>0</v>
      </c>
      <c r="B5" s="36" t="s">
        <v>1</v>
      </c>
      <c r="C5" s="34" t="s">
        <v>2</v>
      </c>
      <c r="D5" s="34" t="s">
        <v>11</v>
      </c>
      <c r="E5" s="34" t="s">
        <v>3</v>
      </c>
      <c r="F5" s="34" t="s">
        <v>4</v>
      </c>
      <c r="G5" s="34" t="s">
        <v>5</v>
      </c>
      <c r="H5" s="36" t="s">
        <v>6</v>
      </c>
    </row>
    <row r="6" spans="1:8" ht="15" customHeight="1">
      <c r="A6" s="35"/>
      <c r="B6" s="37"/>
      <c r="C6" s="35"/>
      <c r="D6" s="35"/>
      <c r="E6" s="35"/>
      <c r="F6" s="35"/>
      <c r="G6" s="35"/>
      <c r="H6" s="37"/>
    </row>
    <row r="7" spans="1:10" ht="15">
      <c r="A7" s="16">
        <v>1</v>
      </c>
      <c r="B7" s="17" t="s">
        <v>22</v>
      </c>
      <c r="C7" s="16"/>
      <c r="D7" s="20">
        <f>73.16</f>
        <v>73.16</v>
      </c>
      <c r="E7" s="20">
        <f>E8*0.0478</f>
        <v>37.57343856</v>
      </c>
      <c r="F7" s="20">
        <f>0.13+0.09+0.05</f>
        <v>0.27</v>
      </c>
      <c r="G7" s="6">
        <f>32.8049*0.0478</f>
        <v>1.5680742200000002</v>
      </c>
      <c r="H7" s="7">
        <f>G7/9582.8</f>
        <v>0.0001636342426013274</v>
      </c>
      <c r="J7" s="11"/>
    </row>
    <row r="8" spans="1:10" ht="15">
      <c r="A8" s="3">
        <v>2</v>
      </c>
      <c r="B8" s="4" t="s">
        <v>9</v>
      </c>
      <c r="C8" s="7"/>
      <c r="D8" s="7">
        <f>807.3</f>
        <v>807.3</v>
      </c>
      <c r="E8" s="6">
        <f>411.9952+337.3+36.76</f>
        <v>786.0552</v>
      </c>
      <c r="F8" s="6">
        <f>3.15</f>
        <v>3.15</v>
      </c>
      <c r="G8" s="6">
        <f>D8-E8-F8</f>
        <v>18.094799999999942</v>
      </c>
      <c r="H8" s="7">
        <f aca="true" t="shared" si="0" ref="H8:H13">G8/9582.8</f>
        <v>0.001888258129148051</v>
      </c>
      <c r="J8" s="11"/>
    </row>
    <row r="9" spans="1:10" ht="15">
      <c r="A9" s="3">
        <v>3</v>
      </c>
      <c r="B9" s="4" t="s">
        <v>19</v>
      </c>
      <c r="C9" s="6" t="s">
        <v>32</v>
      </c>
      <c r="D9" s="6">
        <f>664+236</f>
        <v>900</v>
      </c>
      <c r="E9" s="6">
        <f>532.4048+483.4+92.26</f>
        <v>1108.0648</v>
      </c>
      <c r="F9" s="6">
        <f>40.33</f>
        <v>40.33</v>
      </c>
      <c r="G9" s="6">
        <f>-231.3293</f>
        <v>-231.3293</v>
      </c>
      <c r="H9" s="7">
        <f t="shared" si="0"/>
        <v>-0.024140053011645866</v>
      </c>
      <c r="J9" s="11"/>
    </row>
    <row r="10" spans="1:8" ht="15">
      <c r="A10" s="3">
        <v>4</v>
      </c>
      <c r="B10" s="4" t="s">
        <v>10</v>
      </c>
      <c r="C10" s="6"/>
      <c r="D10" s="6">
        <f>D8+D9</f>
        <v>1707.3</v>
      </c>
      <c r="E10" s="6">
        <f>972.5994+852.78+96.94</f>
        <v>1922.3193999999999</v>
      </c>
      <c r="F10" s="6">
        <f>43.48</f>
        <v>43.48</v>
      </c>
      <c r="G10" s="6">
        <v>0</v>
      </c>
      <c r="H10" s="7">
        <f t="shared" si="0"/>
        <v>0</v>
      </c>
    </row>
    <row r="11" spans="1:8" ht="15">
      <c r="A11" s="30">
        <v>5</v>
      </c>
      <c r="B11" s="26" t="s">
        <v>29</v>
      </c>
      <c r="C11" s="6"/>
      <c r="D11" s="7">
        <f>2410</f>
        <v>2410</v>
      </c>
      <c r="E11" s="6">
        <f>27195</f>
        <v>27195</v>
      </c>
      <c r="F11" s="6">
        <v>0</v>
      </c>
      <c r="G11" s="6">
        <f>-14720.3319</f>
        <v>-14720.3319</v>
      </c>
      <c r="H11" s="7">
        <f t="shared" si="0"/>
        <v>-1.5361201214676294</v>
      </c>
    </row>
    <row r="12" spans="1:8" ht="15">
      <c r="A12" s="31"/>
      <c r="B12" s="26" t="s">
        <v>30</v>
      </c>
      <c r="C12" s="6"/>
      <c r="D12" s="7">
        <f>9420</f>
        <v>9420</v>
      </c>
      <c r="E12" s="6">
        <f>17588</f>
        <v>17588</v>
      </c>
      <c r="F12" s="6">
        <v>0</v>
      </c>
      <c r="G12" s="6">
        <f>-8188.0503</f>
        <v>-8188.0503</v>
      </c>
      <c r="H12" s="7">
        <f t="shared" si="0"/>
        <v>-0.8544528008515258</v>
      </c>
    </row>
    <row r="13" spans="1:8" ht="15">
      <c r="A13" s="32"/>
      <c r="B13" s="21" t="s">
        <v>14</v>
      </c>
      <c r="C13" s="21"/>
      <c r="D13" s="22">
        <f>SUM(D11:D12)</f>
        <v>11830</v>
      </c>
      <c r="E13" s="22">
        <f>SUM(E11:E12)</f>
        <v>44783</v>
      </c>
      <c r="F13" s="22">
        <f>SUM(F11:F12)</f>
        <v>0</v>
      </c>
      <c r="G13" s="22">
        <f>SUM(G11:G12)</f>
        <v>-22908.3822</v>
      </c>
      <c r="H13" s="7">
        <f t="shared" si="0"/>
        <v>-2.3905729223191554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G5:G6"/>
    <mergeCell ref="H5:H6"/>
    <mergeCell ref="A11:A13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33"/>
  <sheetViews>
    <sheetView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5" sqref="B5:B6"/>
    </sheetView>
  </sheetViews>
  <sheetFormatPr defaultColWidth="9.140625" defaultRowHeight="15"/>
  <cols>
    <col min="1" max="1" width="4.57421875" style="0" customWidth="1"/>
    <col min="2" max="2" width="24.00390625" style="0" customWidth="1"/>
    <col min="3" max="3" width="18.8515625" style="0" customWidth="1"/>
    <col min="4" max="4" width="14.8515625" style="0" customWidth="1"/>
    <col min="5" max="5" width="16.7109375" style="0" customWidth="1"/>
    <col min="6" max="6" width="15.421875" style="0" customWidth="1"/>
    <col min="7" max="7" width="12.57421875" style="0" customWidth="1"/>
    <col min="8" max="8" width="11.8515625" style="0" customWidth="1"/>
    <col min="9" max="9" width="9.57421875" style="0" bestFit="1" customWidth="1"/>
  </cols>
  <sheetData>
    <row r="3" spans="2:3" ht="15.75">
      <c r="B3" s="13" t="s">
        <v>33</v>
      </c>
      <c r="C3" s="13"/>
    </row>
    <row r="4" spans="1:8" ht="15">
      <c r="A4" s="33" t="s">
        <v>8</v>
      </c>
      <c r="B4" s="33"/>
      <c r="C4" s="33"/>
      <c r="D4" s="33"/>
      <c r="E4" s="33"/>
      <c r="F4" s="33"/>
      <c r="G4" s="33"/>
      <c r="H4" s="33"/>
    </row>
    <row r="5" spans="1:8" ht="82.5" customHeight="1">
      <c r="A5" s="34" t="s">
        <v>0</v>
      </c>
      <c r="B5" s="36" t="s">
        <v>1</v>
      </c>
      <c r="C5" s="34" t="s">
        <v>2</v>
      </c>
      <c r="D5" s="34" t="s">
        <v>11</v>
      </c>
      <c r="E5" s="34" t="s">
        <v>3</v>
      </c>
      <c r="F5" s="34" t="s">
        <v>4</v>
      </c>
      <c r="G5" s="34" t="s">
        <v>5</v>
      </c>
      <c r="H5" s="36" t="s">
        <v>6</v>
      </c>
    </row>
    <row r="6" spans="1:8" ht="15" customHeight="1">
      <c r="A6" s="35"/>
      <c r="B6" s="37"/>
      <c r="C6" s="35"/>
      <c r="D6" s="35"/>
      <c r="E6" s="35"/>
      <c r="F6" s="35"/>
      <c r="G6" s="35"/>
      <c r="H6" s="37"/>
    </row>
    <row r="7" spans="1:10" ht="15">
      <c r="A7" s="16">
        <v>1</v>
      </c>
      <c r="B7" s="17" t="s">
        <v>22</v>
      </c>
      <c r="C7" s="16"/>
      <c r="D7" s="20">
        <f>61.64</f>
        <v>61.64</v>
      </c>
      <c r="E7" s="20">
        <f>E8*0.0478+0.3707-0.0549</f>
        <v>35.7790024</v>
      </c>
      <c r="F7" s="20">
        <f>F8*0.0478</f>
        <v>0.159652</v>
      </c>
      <c r="G7" s="27">
        <f>1.5683</f>
        <v>1.5683</v>
      </c>
      <c r="H7" s="7">
        <f>G7/9576.3</f>
        <v>0.00016376888777502795</v>
      </c>
      <c r="J7" s="11"/>
    </row>
    <row r="8" spans="1:10" ht="15">
      <c r="A8" s="3">
        <v>2</v>
      </c>
      <c r="B8" s="4" t="s">
        <v>9</v>
      </c>
      <c r="C8" s="7"/>
      <c r="D8" s="7">
        <f>855.8</f>
        <v>855.8</v>
      </c>
      <c r="E8" s="27">
        <f>523.908-47.52+253.58+11.94</f>
        <v>741.9080000000001</v>
      </c>
      <c r="F8" s="27">
        <f>3.34</f>
        <v>3.34</v>
      </c>
      <c r="G8" s="27">
        <f>32.8045</f>
        <v>32.8045</v>
      </c>
      <c r="H8" s="7">
        <f aca="true" t="shared" si="0" ref="H8:H13">G8/9576.3</f>
        <v>0.003425592347775237</v>
      </c>
      <c r="J8" s="11"/>
    </row>
    <row r="9" spans="1:10" ht="15">
      <c r="A9" s="3">
        <v>3</v>
      </c>
      <c r="B9" s="4" t="s">
        <v>19</v>
      </c>
      <c r="C9" s="6" t="s">
        <v>34</v>
      </c>
      <c r="D9" s="6">
        <f>63299-62431</f>
        <v>868</v>
      </c>
      <c r="E9" s="27">
        <f>522.873-47.088+378.01+1.61+0.0005</f>
        <v>855.4055000000001</v>
      </c>
      <c r="F9" s="27">
        <f>32.67</f>
        <v>32.67</v>
      </c>
      <c r="G9" s="27">
        <f>-19.3103</f>
        <v>-19.3103</v>
      </c>
      <c r="H9" s="7">
        <f t="shared" si="0"/>
        <v>-0.0020164677380616735</v>
      </c>
      <c r="J9" s="11"/>
    </row>
    <row r="10" spans="1:8" ht="15">
      <c r="A10" s="3">
        <v>4</v>
      </c>
      <c r="B10" s="4" t="s">
        <v>10</v>
      </c>
      <c r="C10" s="6"/>
      <c r="D10" s="6">
        <f>D8+D9</f>
        <v>1723.8</v>
      </c>
      <c r="E10" s="27">
        <f>986.3645-94.608+596.06+9.87+85.827+9.26+4.54+4.9747-4.9747</f>
        <v>1597.3134999999997</v>
      </c>
      <c r="F10" s="27">
        <f>F8+F9</f>
        <v>36.010000000000005</v>
      </c>
      <c r="G10" s="6">
        <v>0</v>
      </c>
      <c r="H10" s="7">
        <f t="shared" si="0"/>
        <v>0</v>
      </c>
    </row>
    <row r="11" spans="1:8" ht="15">
      <c r="A11" s="30">
        <v>5</v>
      </c>
      <c r="B11" s="26" t="s">
        <v>29</v>
      </c>
      <c r="C11" s="6"/>
      <c r="D11" s="7">
        <f>8740</f>
        <v>8740</v>
      </c>
      <c r="E11" s="6">
        <f>19458</f>
        <v>19458</v>
      </c>
      <c r="F11" s="6">
        <v>0</v>
      </c>
      <c r="G11" s="6">
        <f>-8747.704</f>
        <v>-8747.704</v>
      </c>
      <c r="H11" s="7">
        <f t="shared" si="0"/>
        <v>-0.9134743063604942</v>
      </c>
    </row>
    <row r="12" spans="1:8" ht="15">
      <c r="A12" s="31"/>
      <c r="B12" s="26" t="s">
        <v>30</v>
      </c>
      <c r="C12" s="6"/>
      <c r="D12" s="7">
        <f>11920</f>
        <v>11920</v>
      </c>
      <c r="E12" s="6">
        <f>8456</f>
        <v>8456</v>
      </c>
      <c r="F12" s="6">
        <v>0</v>
      </c>
      <c r="G12" s="6">
        <f>1812.9316</f>
        <v>1812.9316</v>
      </c>
      <c r="H12" s="7">
        <f t="shared" si="0"/>
        <v>0.18931441162035442</v>
      </c>
    </row>
    <row r="13" spans="1:8" ht="15">
      <c r="A13" s="32"/>
      <c r="B13" s="21" t="s">
        <v>14</v>
      </c>
      <c r="C13" s="21"/>
      <c r="D13" s="22">
        <f>SUM(D11:D12)</f>
        <v>20660</v>
      </c>
      <c r="E13" s="22">
        <f>SUM(E11:E12)</f>
        <v>27914</v>
      </c>
      <c r="F13" s="22">
        <f>SUM(F11:F12)</f>
        <v>0</v>
      </c>
      <c r="G13" s="22">
        <f>SUM(G11:G12)</f>
        <v>-6934.7724</v>
      </c>
      <c r="H13" s="7">
        <f t="shared" si="0"/>
        <v>-0.7241598947401398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G5:G6"/>
    <mergeCell ref="H5:H6"/>
    <mergeCell ref="A11:A13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33"/>
  <sheetViews>
    <sheetView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5" sqref="B5:B6"/>
    </sheetView>
  </sheetViews>
  <sheetFormatPr defaultColWidth="9.140625" defaultRowHeight="15"/>
  <cols>
    <col min="1" max="1" width="4.57421875" style="0" customWidth="1"/>
    <col min="2" max="2" width="24.00390625" style="0" customWidth="1"/>
    <col min="3" max="3" width="18.8515625" style="0" customWidth="1"/>
    <col min="4" max="4" width="14.8515625" style="0" customWidth="1"/>
    <col min="5" max="5" width="16.7109375" style="0" customWidth="1"/>
    <col min="6" max="6" width="15.421875" style="0" customWidth="1"/>
    <col min="7" max="7" width="12.57421875" style="0" customWidth="1"/>
    <col min="8" max="8" width="11.8515625" style="0" customWidth="1"/>
    <col min="9" max="9" width="9.57421875" style="0" bestFit="1" customWidth="1"/>
  </cols>
  <sheetData>
    <row r="3" spans="2:3" ht="15.75">
      <c r="B3" s="13" t="s">
        <v>35</v>
      </c>
      <c r="C3" s="13"/>
    </row>
    <row r="4" spans="1:8" ht="15">
      <c r="A4" s="33" t="s">
        <v>8</v>
      </c>
      <c r="B4" s="33"/>
      <c r="C4" s="33"/>
      <c r="D4" s="33"/>
      <c r="E4" s="33"/>
      <c r="F4" s="33"/>
      <c r="G4" s="33"/>
      <c r="H4" s="33"/>
    </row>
    <row r="5" spans="1:8" ht="82.5" customHeight="1">
      <c r="A5" s="34" t="s">
        <v>0</v>
      </c>
      <c r="B5" s="36" t="s">
        <v>1</v>
      </c>
      <c r="C5" s="34" t="s">
        <v>2</v>
      </c>
      <c r="D5" s="34" t="s">
        <v>11</v>
      </c>
      <c r="E5" s="34" t="s">
        <v>3</v>
      </c>
      <c r="F5" s="34" t="s">
        <v>4</v>
      </c>
      <c r="G5" s="34" t="s">
        <v>5</v>
      </c>
      <c r="H5" s="36" t="s">
        <v>6</v>
      </c>
    </row>
    <row r="6" spans="1:8" ht="15" customHeight="1">
      <c r="A6" s="35"/>
      <c r="B6" s="37"/>
      <c r="C6" s="35"/>
      <c r="D6" s="35"/>
      <c r="E6" s="35"/>
      <c r="F6" s="35"/>
      <c r="G6" s="35"/>
      <c r="H6" s="37"/>
    </row>
    <row r="7" spans="1:10" ht="15">
      <c r="A7" s="16">
        <v>1</v>
      </c>
      <c r="B7" s="17" t="s">
        <v>22</v>
      </c>
      <c r="C7" s="16"/>
      <c r="D7" s="20">
        <f>44.38</f>
        <v>44.38</v>
      </c>
      <c r="E7" s="28">
        <f>E8*0.0478+0.2737</f>
        <v>38.25613448000001</v>
      </c>
      <c r="F7" s="20">
        <f>F8*0.0478</f>
        <v>0.12523600000000001</v>
      </c>
      <c r="G7" s="27">
        <f>32.8049*0.0478+0.0002</f>
        <v>1.5682742200000002</v>
      </c>
      <c r="H7" s="7">
        <f>G7/9577.2</f>
        <v>0.0001637508060811093</v>
      </c>
      <c r="J7" s="11"/>
    </row>
    <row r="8" spans="1:10" ht="15">
      <c r="A8" s="3">
        <v>2</v>
      </c>
      <c r="B8" s="4" t="s">
        <v>9</v>
      </c>
      <c r="C8" s="7"/>
      <c r="D8" s="7">
        <f>669.4</f>
        <v>669.4</v>
      </c>
      <c r="E8" s="27">
        <f>575.3381+3.879-96.3355+299.79+11.94</f>
        <v>794.6116000000002</v>
      </c>
      <c r="F8" s="27">
        <f>2.62</f>
        <v>2.62</v>
      </c>
      <c r="G8" s="27">
        <f>D8-E8-F8+7.9206</f>
        <v>-119.9110000000002</v>
      </c>
      <c r="H8" s="7">
        <f aca="true" t="shared" si="0" ref="H8:H13">G8/9577.2</f>
        <v>-0.012520465271686943</v>
      </c>
      <c r="J8" s="11"/>
    </row>
    <row r="9" spans="1:10" ht="15">
      <c r="A9" s="3">
        <v>3</v>
      </c>
      <c r="B9" s="4" t="s">
        <v>19</v>
      </c>
      <c r="C9" s="6" t="s">
        <v>36</v>
      </c>
      <c r="D9" s="6">
        <f>64115-63299</f>
        <v>816</v>
      </c>
      <c r="E9" s="27">
        <f>608.8471+4.6935-102.2568+400.29+6.06</f>
        <v>917.6337999999998</v>
      </c>
      <c r="F9" s="27">
        <f>37</f>
        <v>37</v>
      </c>
      <c r="G9" s="27">
        <f>D9-E9-F9+7.622</f>
        <v>-131.01179999999982</v>
      </c>
      <c r="H9" s="7">
        <f t="shared" si="0"/>
        <v>-0.013679551434657291</v>
      </c>
      <c r="J9" s="11"/>
    </row>
    <row r="10" spans="1:8" ht="15">
      <c r="A10" s="3">
        <v>4</v>
      </c>
      <c r="B10" s="4" t="s">
        <v>10</v>
      </c>
      <c r="C10" s="6"/>
      <c r="D10" s="6">
        <f>D8+D9</f>
        <v>1485.4</v>
      </c>
      <c r="E10" s="27">
        <f>1112.0351+8.5726-198.5923+652.46+9.68+110.35+8.08+8.86-0.17+0.97</f>
        <v>1712.2453999999998</v>
      </c>
      <c r="F10" s="27">
        <f>F8+F9</f>
        <v>39.62</v>
      </c>
      <c r="G10" s="6">
        <v>0</v>
      </c>
      <c r="H10" s="7">
        <f t="shared" si="0"/>
        <v>0</v>
      </c>
    </row>
    <row r="11" spans="1:8" ht="15">
      <c r="A11" s="30">
        <v>5</v>
      </c>
      <c r="B11" s="26" t="s">
        <v>29</v>
      </c>
      <c r="C11" s="6"/>
      <c r="D11" s="7">
        <f>11970</f>
        <v>11970</v>
      </c>
      <c r="E11" s="6">
        <f>18359.5</f>
        <v>18359.5</v>
      </c>
      <c r="F11" s="6">
        <v>0</v>
      </c>
      <c r="G11" s="27">
        <f>D11-E11-F11+474.119</f>
        <v>-5915.381</v>
      </c>
      <c r="H11" s="7">
        <f t="shared" si="0"/>
        <v>-0.6176524453911373</v>
      </c>
    </row>
    <row r="12" spans="1:8" ht="15">
      <c r="A12" s="31"/>
      <c r="B12" s="26" t="s">
        <v>30</v>
      </c>
      <c r="C12" s="6"/>
      <c r="D12" s="7">
        <f>11250</f>
        <v>11250</v>
      </c>
      <c r="E12" s="6">
        <f>8835.1</f>
        <v>8835.1</v>
      </c>
      <c r="F12" s="6">
        <v>0</v>
      </c>
      <c r="G12" s="27">
        <f>D12-E12-F12-405.625</f>
        <v>2009.2749999999996</v>
      </c>
      <c r="H12" s="7">
        <f t="shared" si="0"/>
        <v>0.20979774882011437</v>
      </c>
    </row>
    <row r="13" spans="1:8" ht="15">
      <c r="A13" s="32"/>
      <c r="B13" s="21" t="s">
        <v>14</v>
      </c>
      <c r="C13" s="21"/>
      <c r="D13" s="22">
        <f>SUM(D11:D12)</f>
        <v>23220</v>
      </c>
      <c r="E13" s="22">
        <f>SUM(E11:E12)</f>
        <v>27194.6</v>
      </c>
      <c r="F13" s="22">
        <f>SUM(F11:F12)</f>
        <v>0</v>
      </c>
      <c r="G13" s="29">
        <f>SUM(G11:G12)</f>
        <v>-3906.1060000000007</v>
      </c>
      <c r="H13" s="7">
        <f t="shared" si="0"/>
        <v>-0.4078546965710229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G5:G6"/>
    <mergeCell ref="H5:H6"/>
    <mergeCell ref="A11:A13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33"/>
  <sheetViews>
    <sheetView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7" sqref="E17"/>
    </sheetView>
  </sheetViews>
  <sheetFormatPr defaultColWidth="9.140625" defaultRowHeight="15"/>
  <cols>
    <col min="1" max="1" width="4.57421875" style="0" customWidth="1"/>
    <col min="2" max="2" width="24.00390625" style="0" customWidth="1"/>
    <col min="3" max="3" width="18.8515625" style="0" customWidth="1"/>
    <col min="4" max="4" width="14.8515625" style="0" customWidth="1"/>
    <col min="5" max="5" width="16.7109375" style="0" customWidth="1"/>
    <col min="6" max="6" width="15.421875" style="0" customWidth="1"/>
    <col min="7" max="7" width="12.57421875" style="0" customWidth="1"/>
    <col min="8" max="8" width="11.8515625" style="0" customWidth="1"/>
    <col min="9" max="9" width="9.57421875" style="0" bestFit="1" customWidth="1"/>
  </cols>
  <sheetData>
    <row r="3" spans="2:3" ht="15.75">
      <c r="B3" s="13" t="s">
        <v>37</v>
      </c>
      <c r="C3" s="13"/>
    </row>
    <row r="4" spans="1:8" ht="15">
      <c r="A4" s="33" t="s">
        <v>8</v>
      </c>
      <c r="B4" s="33"/>
      <c r="C4" s="33"/>
      <c r="D4" s="33"/>
      <c r="E4" s="33"/>
      <c r="F4" s="33"/>
      <c r="G4" s="33"/>
      <c r="H4" s="33"/>
    </row>
    <row r="5" spans="1:8" ht="82.5" customHeight="1">
      <c r="A5" s="34" t="s">
        <v>0</v>
      </c>
      <c r="B5" s="36" t="s">
        <v>1</v>
      </c>
      <c r="C5" s="34" t="s">
        <v>2</v>
      </c>
      <c r="D5" s="34" t="s">
        <v>11</v>
      </c>
      <c r="E5" s="34" t="s">
        <v>3</v>
      </c>
      <c r="F5" s="34" t="s">
        <v>4</v>
      </c>
      <c r="G5" s="34" t="s">
        <v>5</v>
      </c>
      <c r="H5" s="36" t="s">
        <v>6</v>
      </c>
    </row>
    <row r="6" spans="1:8" ht="15" customHeight="1">
      <c r="A6" s="35"/>
      <c r="B6" s="37"/>
      <c r="C6" s="35"/>
      <c r="D6" s="35"/>
      <c r="E6" s="35"/>
      <c r="F6" s="35"/>
      <c r="G6" s="35"/>
      <c r="H6" s="37"/>
    </row>
    <row r="7" spans="1:10" ht="15">
      <c r="A7" s="16">
        <v>1</v>
      </c>
      <c r="B7" s="17" t="s">
        <v>22</v>
      </c>
      <c r="C7" s="16"/>
      <c r="D7" s="20">
        <f>50.23</f>
        <v>50.23</v>
      </c>
      <c r="E7" s="28">
        <f>E8*0.0478+0.1065+0.45345</f>
        <v>37.24650735999999</v>
      </c>
      <c r="F7" s="20">
        <f>F8*0.0478</f>
        <v>0.140054</v>
      </c>
      <c r="G7" s="27">
        <f>32.8049*0.0478+0.0002</f>
        <v>1.5682742200000002</v>
      </c>
      <c r="H7" s="7">
        <f aca="true" t="shared" si="0" ref="H7:H13">G7/9577.2</f>
        <v>0.0001637508060811093</v>
      </c>
      <c r="J7" s="11"/>
    </row>
    <row r="8" spans="1:10" ht="15">
      <c r="A8" s="3">
        <v>2</v>
      </c>
      <c r="B8" s="4" t="s">
        <v>9</v>
      </c>
      <c r="C8" s="7"/>
      <c r="D8" s="7">
        <f>747.6</f>
        <v>747.6</v>
      </c>
      <c r="E8" s="27">
        <f>528.6345+286.68+40.11-87.9226-0.0007</f>
        <v>767.5011999999999</v>
      </c>
      <c r="F8" s="27">
        <f>2.93</f>
        <v>2.93</v>
      </c>
      <c r="G8" s="27">
        <f>D8-E8-F8+1.8537</f>
        <v>-20.977499999999903</v>
      </c>
      <c r="H8" s="7">
        <f t="shared" si="0"/>
        <v>-0.002190358351083814</v>
      </c>
      <c r="J8" s="11"/>
    </row>
    <row r="9" spans="1:10" ht="15">
      <c r="A9" s="3">
        <v>3</v>
      </c>
      <c r="B9" s="4" t="s">
        <v>19</v>
      </c>
      <c r="C9" s="6" t="s">
        <v>38</v>
      </c>
      <c r="D9" s="6">
        <f>64887-64115</f>
        <v>772</v>
      </c>
      <c r="E9" s="27">
        <f>575.6168+371.85+16.01-95.9361</f>
        <v>867.5407</v>
      </c>
      <c r="F9" s="27">
        <f>39</f>
        <v>39</v>
      </c>
      <c r="G9" s="27">
        <f>-123.0483</f>
        <v>-123.0483</v>
      </c>
      <c r="H9" s="7">
        <f t="shared" si="0"/>
        <v>-0.012848045357724595</v>
      </c>
      <c r="J9" s="11"/>
    </row>
    <row r="10" spans="1:8" ht="15">
      <c r="A10" s="3">
        <v>4</v>
      </c>
      <c r="B10" s="4" t="s">
        <v>10</v>
      </c>
      <c r="C10" s="6"/>
      <c r="D10" s="6">
        <f>D8+D9</f>
        <v>1519.6</v>
      </c>
      <c r="E10" s="27">
        <f>873.8241+630.15+37.2+91.6471+2.2206</f>
        <v>1635.0418</v>
      </c>
      <c r="F10" s="27">
        <f>F8+F9</f>
        <v>41.93</v>
      </c>
      <c r="G10" s="27">
        <v>0</v>
      </c>
      <c r="H10" s="7">
        <f t="shared" si="0"/>
        <v>0</v>
      </c>
    </row>
    <row r="11" spans="1:8" ht="15">
      <c r="A11" s="30">
        <v>5</v>
      </c>
      <c r="B11" s="26" t="s">
        <v>29</v>
      </c>
      <c r="C11" s="6"/>
      <c r="D11" s="7">
        <f>11660</f>
        <v>11660</v>
      </c>
      <c r="E11" s="27">
        <f>20520</f>
        <v>20520</v>
      </c>
      <c r="F11" s="27">
        <v>0</v>
      </c>
      <c r="G11" s="27">
        <f>-7451.3993</f>
        <v>-7451.3993</v>
      </c>
      <c r="H11" s="7">
        <f t="shared" si="0"/>
        <v>-0.7780352608277993</v>
      </c>
    </row>
    <row r="12" spans="1:8" ht="15">
      <c r="A12" s="31"/>
      <c r="B12" s="26" t="s">
        <v>30</v>
      </c>
      <c r="C12" s="6"/>
      <c r="D12" s="7">
        <f>12330</f>
        <v>12330</v>
      </c>
      <c r="E12" s="27">
        <f>8885</f>
        <v>8885</v>
      </c>
      <c r="F12" s="27">
        <v>0</v>
      </c>
      <c r="G12" s="27">
        <f>2216.2993</f>
        <v>2216.2993</v>
      </c>
      <c r="H12" s="7">
        <f t="shared" si="0"/>
        <v>0.23141411894917094</v>
      </c>
    </row>
    <row r="13" spans="1:8" ht="15">
      <c r="A13" s="32"/>
      <c r="B13" s="21" t="s">
        <v>14</v>
      </c>
      <c r="C13" s="21"/>
      <c r="D13" s="22">
        <f>SUM(D11:D12)</f>
        <v>23990</v>
      </c>
      <c r="E13" s="29">
        <f>SUM(E11:E12)</f>
        <v>29405</v>
      </c>
      <c r="F13" s="29">
        <f>SUM(F11:F12)</f>
        <v>0</v>
      </c>
      <c r="G13" s="29">
        <f>SUM(G11:G12)</f>
        <v>-5235.1</v>
      </c>
      <c r="H13" s="7">
        <f t="shared" si="0"/>
        <v>-0.5466211418786284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G5:G6"/>
    <mergeCell ref="H5:H6"/>
    <mergeCell ref="A11:A13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33"/>
  <sheetViews>
    <sheetView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7" sqref="C7"/>
    </sheetView>
  </sheetViews>
  <sheetFormatPr defaultColWidth="9.140625" defaultRowHeight="15"/>
  <cols>
    <col min="1" max="1" width="4.57421875" style="0" customWidth="1"/>
    <col min="2" max="2" width="24.00390625" style="0" customWidth="1"/>
    <col min="3" max="3" width="18.8515625" style="0" customWidth="1"/>
    <col min="4" max="4" width="14.8515625" style="0" customWidth="1"/>
    <col min="5" max="5" width="16.7109375" style="0" customWidth="1"/>
    <col min="6" max="6" width="15.421875" style="0" customWidth="1"/>
    <col min="7" max="7" width="12.57421875" style="0" customWidth="1"/>
    <col min="8" max="8" width="11.8515625" style="0" customWidth="1"/>
    <col min="9" max="9" width="9.57421875" style="0" bestFit="1" customWidth="1"/>
  </cols>
  <sheetData>
    <row r="3" spans="2:3" ht="15.75">
      <c r="B3" s="13" t="s">
        <v>39</v>
      </c>
      <c r="C3" s="13"/>
    </row>
    <row r="4" spans="1:8" ht="15">
      <c r="A4" s="33" t="s">
        <v>8</v>
      </c>
      <c r="B4" s="33"/>
      <c r="C4" s="33"/>
      <c r="D4" s="33"/>
      <c r="E4" s="33"/>
      <c r="F4" s="33"/>
      <c r="G4" s="33"/>
      <c r="H4" s="33"/>
    </row>
    <row r="5" spans="1:8" ht="82.5" customHeight="1">
      <c r="A5" s="34" t="s">
        <v>0</v>
      </c>
      <c r="B5" s="36" t="s">
        <v>1</v>
      </c>
      <c r="C5" s="34" t="s">
        <v>2</v>
      </c>
      <c r="D5" s="34" t="s">
        <v>11</v>
      </c>
      <c r="E5" s="34" t="s">
        <v>3</v>
      </c>
      <c r="F5" s="34" t="s">
        <v>4</v>
      </c>
      <c r="G5" s="34" t="s">
        <v>5</v>
      </c>
      <c r="H5" s="36" t="s">
        <v>6</v>
      </c>
    </row>
    <row r="6" spans="1:8" ht="15" customHeight="1">
      <c r="A6" s="35"/>
      <c r="B6" s="37"/>
      <c r="C6" s="35"/>
      <c r="D6" s="35"/>
      <c r="E6" s="35"/>
      <c r="F6" s="35"/>
      <c r="G6" s="35"/>
      <c r="H6" s="37"/>
    </row>
    <row r="7" spans="1:10" ht="15">
      <c r="A7" s="16">
        <v>1</v>
      </c>
      <c r="B7" s="17" t="s">
        <v>22</v>
      </c>
      <c r="C7" s="16"/>
      <c r="D7" s="20">
        <f>50.84</f>
        <v>50.84</v>
      </c>
      <c r="E7" s="28">
        <f>E8*0.0478+0.0123</f>
        <v>39.9119765626</v>
      </c>
      <c r="F7" s="20">
        <f>F8*0.0478</f>
        <v>0.12045600000000001</v>
      </c>
      <c r="G7" s="27">
        <f>32.8049*0.0478-0.0001</f>
        <v>1.5679742200000002</v>
      </c>
      <c r="H7" s="7">
        <f>G7/9573.6</f>
        <v>0.00016378104579259633</v>
      </c>
      <c r="J7" s="11"/>
    </row>
    <row r="8" spans="1:10" ht="15">
      <c r="A8" s="3">
        <v>2</v>
      </c>
      <c r="B8" s="4" t="s">
        <v>9</v>
      </c>
      <c r="C8" s="7"/>
      <c r="D8" s="7">
        <f>838</f>
        <v>838</v>
      </c>
      <c r="E8" s="27">
        <f>540.9647-89.973333+361.49+22.24-0.0001</f>
        <v>834.721267</v>
      </c>
      <c r="F8" s="27">
        <f>2.52</f>
        <v>2.52</v>
      </c>
      <c r="G8" s="27">
        <f>D8-E8-F8+0.0006</f>
        <v>0.7593329999999884</v>
      </c>
      <c r="H8" s="7">
        <f aca="true" t="shared" si="0" ref="H8:H13">G8/9573.6</f>
        <v>7.931530458761473E-05</v>
      </c>
      <c r="J8" s="11"/>
    </row>
    <row r="9" spans="1:10" ht="15">
      <c r="A9" s="3">
        <v>3</v>
      </c>
      <c r="B9" s="4" t="s">
        <v>19</v>
      </c>
      <c r="C9" s="6" t="s">
        <v>40</v>
      </c>
      <c r="D9" s="6">
        <f>65876-64887</f>
        <v>989</v>
      </c>
      <c r="E9" s="27">
        <f>593.252-98.875333+464.09+64.82</f>
        <v>1023.2866669999999</v>
      </c>
      <c r="F9" s="27">
        <f>39</f>
        <v>39</v>
      </c>
      <c r="G9" s="27">
        <f>D9-E9-F9+3.6883</f>
        <v>-69.59836699999985</v>
      </c>
      <c r="H9" s="7">
        <f t="shared" si="0"/>
        <v>-0.007269821906075024</v>
      </c>
      <c r="J9" s="11"/>
    </row>
    <row r="10" spans="1:8" ht="15">
      <c r="A10" s="3">
        <v>4</v>
      </c>
      <c r="B10" s="4" t="s">
        <v>10</v>
      </c>
      <c r="C10" s="6"/>
      <c r="D10" s="6">
        <f>D8+D9</f>
        <v>1827</v>
      </c>
      <c r="E10" s="27">
        <f>903.1293+801.27+63.43+87.0487+3.13</f>
        <v>1858.0080000000003</v>
      </c>
      <c r="F10" s="27">
        <f>F8+F9</f>
        <v>41.52</v>
      </c>
      <c r="G10" s="27">
        <v>0</v>
      </c>
      <c r="H10" s="7">
        <f t="shared" si="0"/>
        <v>0</v>
      </c>
    </row>
    <row r="11" spans="1:8" ht="15">
      <c r="A11" s="30">
        <v>5</v>
      </c>
      <c r="B11" s="26" t="s">
        <v>29</v>
      </c>
      <c r="C11" s="6"/>
      <c r="D11" s="7">
        <f>12280</f>
        <v>12280</v>
      </c>
      <c r="E11" s="27">
        <f>18491</f>
        <v>18491</v>
      </c>
      <c r="F11" s="27">
        <v>0</v>
      </c>
      <c r="G11" s="27">
        <v>-5459.4881</v>
      </c>
      <c r="H11" s="7">
        <f t="shared" si="0"/>
        <v>-0.5702649055736608</v>
      </c>
    </row>
    <row r="12" spans="1:8" ht="15">
      <c r="A12" s="31"/>
      <c r="B12" s="26" t="s">
        <v>30</v>
      </c>
      <c r="C12" s="6"/>
      <c r="D12" s="7">
        <f>11470</f>
        <v>11470</v>
      </c>
      <c r="E12" s="27">
        <f>9283</f>
        <v>9283</v>
      </c>
      <c r="F12" s="27">
        <v>0</v>
      </c>
      <c r="G12" s="27">
        <f>1728.1794</f>
        <v>1728.1794</v>
      </c>
      <c r="H12" s="7">
        <f t="shared" si="0"/>
        <v>0.18051510403609927</v>
      </c>
    </row>
    <row r="13" spans="1:8" ht="15">
      <c r="A13" s="32"/>
      <c r="B13" s="21" t="s">
        <v>14</v>
      </c>
      <c r="C13" s="21"/>
      <c r="D13" s="22">
        <f>SUM(D11:D12)</f>
        <v>23750</v>
      </c>
      <c r="E13" s="29">
        <f>SUM(E11:E12)</f>
        <v>27774</v>
      </c>
      <c r="F13" s="29">
        <f>SUM(F11:F12)</f>
        <v>0</v>
      </c>
      <c r="G13" s="29">
        <f>SUM(G11:G12)</f>
        <v>-3731.3086999999996</v>
      </c>
      <c r="H13" s="7">
        <f t="shared" si="0"/>
        <v>-0.38974980153756156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G5:G6"/>
    <mergeCell ref="H5:H6"/>
    <mergeCell ref="A11:A13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33"/>
  <sheetViews>
    <sheetView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5" sqref="C5:C6"/>
    </sheetView>
  </sheetViews>
  <sheetFormatPr defaultColWidth="9.140625" defaultRowHeight="15"/>
  <cols>
    <col min="1" max="1" width="4.57421875" style="0" customWidth="1"/>
    <col min="2" max="2" width="24.00390625" style="0" customWidth="1"/>
    <col min="3" max="3" width="18.8515625" style="0" customWidth="1"/>
    <col min="4" max="4" width="14.8515625" style="0" customWidth="1"/>
    <col min="5" max="5" width="16.7109375" style="0" customWidth="1"/>
    <col min="6" max="6" width="15.421875" style="0" customWidth="1"/>
    <col min="7" max="7" width="12.57421875" style="0" customWidth="1"/>
    <col min="8" max="8" width="11.8515625" style="0" customWidth="1"/>
    <col min="9" max="9" width="9.57421875" style="0" bestFit="1" customWidth="1"/>
  </cols>
  <sheetData>
    <row r="3" spans="2:3" ht="15.75">
      <c r="B3" s="13" t="s">
        <v>41</v>
      </c>
      <c r="C3" s="13"/>
    </row>
    <row r="4" spans="1:8" ht="15">
      <c r="A4" s="33" t="s">
        <v>8</v>
      </c>
      <c r="B4" s="33"/>
      <c r="C4" s="33"/>
      <c r="D4" s="33"/>
      <c r="E4" s="33"/>
      <c r="F4" s="33"/>
      <c r="G4" s="33"/>
      <c r="H4" s="33"/>
    </row>
    <row r="5" spans="1:8" ht="82.5" customHeight="1">
      <c r="A5" s="34" t="s">
        <v>0</v>
      </c>
      <c r="B5" s="36" t="s">
        <v>1</v>
      </c>
      <c r="C5" s="34" t="s">
        <v>2</v>
      </c>
      <c r="D5" s="34" t="s">
        <v>11</v>
      </c>
      <c r="E5" s="34" t="s">
        <v>3</v>
      </c>
      <c r="F5" s="34" t="s">
        <v>4</v>
      </c>
      <c r="G5" s="34" t="s">
        <v>5</v>
      </c>
      <c r="H5" s="36" t="s">
        <v>6</v>
      </c>
    </row>
    <row r="6" spans="1:8" ht="15" customHeight="1">
      <c r="A6" s="35"/>
      <c r="B6" s="37"/>
      <c r="C6" s="35"/>
      <c r="D6" s="35"/>
      <c r="E6" s="35"/>
      <c r="F6" s="35"/>
      <c r="G6" s="35"/>
      <c r="H6" s="37"/>
    </row>
    <row r="7" spans="1:10" ht="15">
      <c r="A7" s="16">
        <v>1</v>
      </c>
      <c r="B7" s="17" t="s">
        <v>22</v>
      </c>
      <c r="C7" s="16"/>
      <c r="D7" s="20">
        <v>59.82</v>
      </c>
      <c r="E7" s="28">
        <f>E8*0.0478+0.0027</f>
        <v>36.943974000000004</v>
      </c>
      <c r="F7" s="20">
        <v>0.2</v>
      </c>
      <c r="G7" s="27">
        <f>G8*0.0478-0.0001</f>
        <v>1.5679455400000004</v>
      </c>
      <c r="H7" s="7">
        <f aca="true" t="shared" si="0" ref="H7:H13">G7/9573.6</f>
        <v>0.00016377805005431608</v>
      </c>
      <c r="J7" s="11"/>
    </row>
    <row r="8" spans="1:10" ht="15">
      <c r="A8" s="3">
        <v>2</v>
      </c>
      <c r="B8" s="4" t="s">
        <v>9</v>
      </c>
      <c r="C8" s="7"/>
      <c r="D8" s="7">
        <f>835.7</f>
        <v>835.7</v>
      </c>
      <c r="E8" s="27">
        <f>529.1-88+296.61+35.12</f>
        <v>772.83</v>
      </c>
      <c r="F8" s="27">
        <f>2.52</f>
        <v>2.52</v>
      </c>
      <c r="G8" s="27">
        <f>32.8049-0.0006</f>
        <v>32.804300000000005</v>
      </c>
      <c r="H8" s="7">
        <f t="shared" si="0"/>
        <v>0.00342653756162781</v>
      </c>
      <c r="J8" s="11"/>
    </row>
    <row r="9" spans="1:10" ht="15">
      <c r="A9" s="3">
        <v>3</v>
      </c>
      <c r="B9" s="4" t="s">
        <v>19</v>
      </c>
      <c r="C9" s="6" t="s">
        <v>42</v>
      </c>
      <c r="D9" s="6">
        <f>66630-65876</f>
        <v>754</v>
      </c>
      <c r="E9" s="27">
        <f>563.2258-93.870967+467.58+47.74+0.0009</f>
        <v>984.675733</v>
      </c>
      <c r="F9" s="27">
        <f>44</f>
        <v>44</v>
      </c>
      <c r="G9" s="27">
        <f>D9-E9-F9+25.822</f>
        <v>-248.85373300000003</v>
      </c>
      <c r="H9" s="7">
        <f t="shared" si="0"/>
        <v>-0.025993746657474726</v>
      </c>
      <c r="J9" s="11"/>
    </row>
    <row r="10" spans="1:8" ht="15">
      <c r="A10" s="3">
        <v>4</v>
      </c>
      <c r="B10" s="4" t="s">
        <v>10</v>
      </c>
      <c r="C10" s="6"/>
      <c r="D10" s="6">
        <f>D8+D9</f>
        <v>1589.7</v>
      </c>
      <c r="E10" s="27">
        <f>870.3534+735.49+63.88+83.75+4.03</f>
        <v>1757.5034</v>
      </c>
      <c r="F10" s="27">
        <f>F8+F9</f>
        <v>46.52</v>
      </c>
      <c r="G10" s="27">
        <v>0</v>
      </c>
      <c r="H10" s="7">
        <f t="shared" si="0"/>
        <v>0</v>
      </c>
    </row>
    <row r="11" spans="1:8" ht="15">
      <c r="A11" s="30">
        <v>5</v>
      </c>
      <c r="B11" s="26" t="s">
        <v>29</v>
      </c>
      <c r="C11" s="6"/>
      <c r="D11" s="7">
        <f>14580</f>
        <v>14580</v>
      </c>
      <c r="E11" s="27">
        <f>20092</f>
        <v>20092</v>
      </c>
      <c r="F11" s="27">
        <v>0</v>
      </c>
      <c r="G11" s="27">
        <f>-4933.3328</f>
        <v>-4933.3328</v>
      </c>
      <c r="H11" s="7">
        <f t="shared" si="0"/>
        <v>-0.515305924626055</v>
      </c>
    </row>
    <row r="12" spans="1:8" ht="15">
      <c r="A12" s="31"/>
      <c r="B12" s="26" t="s">
        <v>30</v>
      </c>
      <c r="C12" s="6"/>
      <c r="D12" s="7">
        <f>15870</f>
        <v>15870</v>
      </c>
      <c r="E12" s="27">
        <f>11879</f>
        <v>11879</v>
      </c>
      <c r="F12" s="27">
        <v>0</v>
      </c>
      <c r="G12" s="27">
        <f>3511.0128</f>
        <v>3511.0128</v>
      </c>
      <c r="H12" s="7">
        <f t="shared" si="0"/>
        <v>0.36673903233893207</v>
      </c>
    </row>
    <row r="13" spans="1:8" ht="15">
      <c r="A13" s="32"/>
      <c r="B13" s="21" t="s">
        <v>14</v>
      </c>
      <c r="C13" s="21"/>
      <c r="D13" s="22">
        <f>SUM(D11:D12)</f>
        <v>30450</v>
      </c>
      <c r="E13" s="29">
        <f>SUM(E11:E12)</f>
        <v>31971</v>
      </c>
      <c r="F13" s="29">
        <f>SUM(F11:F12)</f>
        <v>0</v>
      </c>
      <c r="G13" s="29">
        <f>SUM(G11:G12)</f>
        <v>-1422.3200000000002</v>
      </c>
      <c r="H13" s="7">
        <f t="shared" si="0"/>
        <v>-0.14856689228712294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0">
    <mergeCell ref="G5:G6"/>
    <mergeCell ref="H5:H6"/>
    <mergeCell ref="A11:A13"/>
    <mergeCell ref="A4:H4"/>
    <mergeCell ref="A5:A6"/>
    <mergeCell ref="B5:B6"/>
    <mergeCell ref="C5:C6"/>
    <mergeCell ref="D5:D6"/>
    <mergeCell ref="E5:E6"/>
    <mergeCell ref="F5:F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2012-11-21T05:33:05Z</cp:lastPrinted>
  <dcterms:created xsi:type="dcterms:W3CDTF">2006-09-16T00:00:00Z</dcterms:created>
  <dcterms:modified xsi:type="dcterms:W3CDTF">2016-02-01T10:34:17Z</dcterms:modified>
  <cp:category/>
  <cp:version/>
  <cp:contentType/>
  <cp:contentStatus/>
</cp:coreProperties>
</file>