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8" activeTab="11"/>
  </bookViews>
  <sheets>
    <sheet name="63.1 (январь)" sheetId="1" r:id="rId1"/>
    <sheet name="63.1 (февраль)" sheetId="2" r:id="rId2"/>
    <sheet name="63.1 (март)" sheetId="3" r:id="rId3"/>
    <sheet name="63.1 (апрель)" sheetId="4" r:id="rId4"/>
    <sheet name="63.1 (май)" sheetId="5" r:id="rId5"/>
    <sheet name="63.1 (июнь)" sheetId="6" r:id="rId6"/>
    <sheet name="63.1 (июль) " sheetId="7" r:id="rId7"/>
    <sheet name="63.1 (август)" sheetId="8" r:id="rId8"/>
    <sheet name="63.1 (сентябрь)" sheetId="9" r:id="rId9"/>
    <sheet name="63.1 (октябрь)" sheetId="10" r:id="rId10"/>
    <sheet name="63.1 (ноябрь)" sheetId="11" r:id="rId11"/>
    <sheet name="63.1 (декабрь)" sheetId="12" r:id="rId12"/>
  </sheets>
  <definedNames/>
  <calcPr fullCalcOnLoad="1"/>
</workbook>
</file>

<file path=xl/sharedStrings.xml><?xml version="1.0" encoding="utf-8"?>
<sst xmlns="http://schemas.openxmlformats.org/spreadsheetml/2006/main" count="216" uniqueCount="40">
  <si>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</si>
  <si>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</si>
  <si>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</si>
  <si>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</si>
  <si>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</si>
  <si>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</si>
  <si>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</si>
  <si>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Викулова 63-1</t>
  </si>
  <si>
    <t>ГВС (тонн)</t>
  </si>
  <si>
    <t>водоотведение(тонн)</t>
  </si>
  <si>
    <t>объем потребления</t>
  </si>
  <si>
    <t>итого по эл.эн.</t>
  </si>
  <si>
    <t>ХВС (тонн)</t>
  </si>
  <si>
    <t>нагрев воды (Г.кал.)</t>
  </si>
  <si>
    <t>Общий объем эл.эн.день</t>
  </si>
  <si>
    <t>Общий объем эл.эн.ночь</t>
  </si>
  <si>
    <t>Объем коммунальных услуг по показаниям общедомовых приборов учета (ОДН) за январь в феврале 2016г.</t>
  </si>
  <si>
    <t>7821,/8406</t>
  </si>
  <si>
    <t>Объем коммунальных услуг по показаниям общедомовых приборов учета (ОДН) за февраль в марте 2016г.</t>
  </si>
  <si>
    <t>8406,/9094</t>
  </si>
  <si>
    <t>Объем коммунальных услуг по показаниям общедомовых приборов учета (ОДН) за март в апреле 2016г.</t>
  </si>
  <si>
    <t>9094,/9775</t>
  </si>
  <si>
    <t>Объем коммунальных услуг по показаниям общедомовых приборов учета (ОДН) за апрель в мае 2016г.</t>
  </si>
  <si>
    <t>9775,/10341</t>
  </si>
  <si>
    <t>Объем коммунальных услуг по показаниям общедомовых приборов учета (ОДН) за май в июне 2016г.</t>
  </si>
  <si>
    <t>10341,/10912</t>
  </si>
  <si>
    <t>Объем коммунальных услуг по показаниям общедомовых приборов учета (ОДН) за июнь в июле 2016г.</t>
  </si>
  <si>
    <t>10912,/11401</t>
  </si>
  <si>
    <t>Объем коммунальных услуг по показаниям общедомовых приборов учета (ОДН) за июль в августе 2016г.</t>
  </si>
  <si>
    <t>11401,/11883</t>
  </si>
  <si>
    <t>Объем коммунальных услуг по показаниям общедомовых приборов учета (ОДН) за август в сентябре 2016г.</t>
  </si>
  <si>
    <t>11883,/12580</t>
  </si>
  <si>
    <t>Объем коммунальных услуг по показаниям общедомовых приборов учета (ОДН) за сентябрь в октябре 2016г.</t>
  </si>
  <si>
    <t>12580,/13194</t>
  </si>
  <si>
    <t>Объем коммунальных услуг по показаниям общедомовых приборов учета (ОДН) за октябрь в ноябре 2016г.</t>
  </si>
  <si>
    <t>13194 /13825</t>
  </si>
  <si>
    <t>Объем коммунальных услуг по показаниям общедомовых приборов учета (ОДН) за ноябрь в декабре 2016г.</t>
  </si>
  <si>
    <t>13825,/14535</t>
  </si>
  <si>
    <t>Объем коммунальных услуг по показаниям общедомовых приборов учета (ОДН) за декабрь в январе 2017г.</t>
  </si>
  <si>
    <t>14535,/15201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</si>
</sst>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"/>
    <numFmt numFmtId="174" formatCode="0.000"/>
    <numFmt numFmtId="175" formatCode="#,##0.000"/>
    <numFmt numFmtId="176" formatCode="#,##0.0000"/>
    <numFmt numFmtId="177" formatCode="0.0"/>
    <numFmt numFmtId="178" formatCode="#,##0.00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7.8515625" style="0" customWidth="1"/>
    <col min="4" max="4" width="15.00390625" style="0" customWidth="1"/>
    <col min="5" max="5" width="16.7109375" style="0" customWidth="1"/>
    <col min="6" max="6" width="15.28125" style="0" customWidth="1"/>
    <col min="7" max="7" width="11.7109375" style="0" customWidth="1"/>
    <col min="8" max="8" width="12.140625" style="0" customWidth="1"/>
    <col min="9" max="9" width="9.57421875" style="0" bestFit="1" customWidth="1"/>
  </cols>
  <sheetData>
    <row r="3" spans="2:3" ht="15.75">
      <c r="B3" s="7" t="s">
        <v>16</v>
      </c>
      <c r="C3" s="7"/>
    </row>
    <row r="4" spans="1:8" ht="15">
      <c r="A4" s="26" t="s">
        <v>7</v>
      </c>
      <c r="B4" s="26"/>
      <c r="C4" s="26"/>
      <c r="D4" s="26"/>
      <c r="E4" s="26"/>
      <c r="F4" s="26"/>
      <c r="G4" s="26"/>
      <c r="H4" s="26"/>
    </row>
    <row r="5" spans="1:8" ht="75" customHeight="1">
      <c r="A5" s="27" t="s">
        <v>0</v>
      </c>
      <c r="B5" s="29" t="s">
        <v>1</v>
      </c>
      <c r="C5" s="27" t="s">
        <v>2</v>
      </c>
      <c r="D5" s="27" t="s">
        <v>10</v>
      </c>
      <c r="E5" s="27" t="s">
        <v>3</v>
      </c>
      <c r="F5" s="27" t="s">
        <v>4</v>
      </c>
      <c r="G5" s="27" t="s">
        <v>5</v>
      </c>
      <c r="H5" s="29" t="s">
        <v>6</v>
      </c>
    </row>
    <row r="6" spans="1:8" ht="15" customHeight="1">
      <c r="A6" s="28"/>
      <c r="B6" s="30"/>
      <c r="C6" s="28"/>
      <c r="D6" s="28"/>
      <c r="E6" s="28"/>
      <c r="F6" s="28"/>
      <c r="G6" s="28"/>
      <c r="H6" s="30"/>
    </row>
    <row r="7" spans="1:10" ht="15">
      <c r="A7" s="8">
        <v>1</v>
      </c>
      <c r="B7" s="9" t="s">
        <v>13</v>
      </c>
      <c r="C7" s="8"/>
      <c r="D7" s="10">
        <f>49.44</f>
        <v>49.44</v>
      </c>
      <c r="E7" s="10">
        <f>E8*0.0478+0.0016</f>
        <v>23.445110000000003</v>
      </c>
      <c r="F7" s="10">
        <f>0.44</f>
        <v>0.44</v>
      </c>
      <c r="G7" s="14">
        <f>20.9124*0.0478+0.0007</f>
        <v>1.0003127200000002</v>
      </c>
      <c r="H7" s="5">
        <f aca="true" t="shared" si="0" ref="H7:H13">G7/6817.2</f>
        <v>0.0001467336619139823</v>
      </c>
      <c r="J7" s="6"/>
    </row>
    <row r="8" spans="1:10" ht="15">
      <c r="A8" s="2">
        <v>2</v>
      </c>
      <c r="B8" s="3" t="s">
        <v>8</v>
      </c>
      <c r="C8" s="5"/>
      <c r="D8" s="5">
        <f>497.5</f>
        <v>497.5</v>
      </c>
      <c r="E8" s="14">
        <f>392.7-112+208.28+1.47</f>
        <v>490.45000000000005</v>
      </c>
      <c r="F8" s="14">
        <f>4.27</f>
        <v>4.27</v>
      </c>
      <c r="G8" s="14">
        <f>D8-E8-F8-0.0002</f>
        <v>2.779799999999955</v>
      </c>
      <c r="H8" s="5">
        <f t="shared" si="0"/>
        <v>0.00040776271783136113</v>
      </c>
      <c r="J8" s="6"/>
    </row>
    <row r="9" spans="1:10" ht="15">
      <c r="A9" s="2">
        <v>3</v>
      </c>
      <c r="B9" s="3" t="s">
        <v>12</v>
      </c>
      <c r="C9" s="4" t="s">
        <v>17</v>
      </c>
      <c r="D9" s="4">
        <f>8406-7821</f>
        <v>585</v>
      </c>
      <c r="E9" s="14">
        <f>387.03-110.58+403.92</f>
        <v>680.37</v>
      </c>
      <c r="F9" s="14">
        <f>1</f>
        <v>1</v>
      </c>
      <c r="G9" s="14">
        <f>D9-E9-F9+6.3034</f>
        <v>-90.06660000000001</v>
      </c>
      <c r="H9" s="5">
        <f t="shared" si="0"/>
        <v>-0.013211670480549201</v>
      </c>
      <c r="J9" s="6"/>
    </row>
    <row r="10" spans="1:8" ht="15">
      <c r="A10" s="2">
        <v>4</v>
      </c>
      <c r="B10" s="3" t="s">
        <v>9</v>
      </c>
      <c r="C10" s="4"/>
      <c r="D10" s="4">
        <f>D8+D9</f>
        <v>1082.5</v>
      </c>
      <c r="E10" s="14">
        <f>434.14+484.25+14.59+156.64+13.58+61.22+6.4</f>
        <v>1170.82</v>
      </c>
      <c r="F10" s="14">
        <f>F8+F9</f>
        <v>5.27</v>
      </c>
      <c r="G10" s="14">
        <v>0</v>
      </c>
      <c r="H10" s="5">
        <f t="shared" si="0"/>
        <v>0</v>
      </c>
    </row>
    <row r="11" spans="1:8" ht="15">
      <c r="A11" s="23">
        <v>5</v>
      </c>
      <c r="B11" s="13" t="s">
        <v>14</v>
      </c>
      <c r="C11" s="4"/>
      <c r="D11" s="5">
        <f>25557</f>
        <v>25557</v>
      </c>
      <c r="E11" s="14">
        <f>12076</f>
        <v>12076</v>
      </c>
      <c r="F11" s="14">
        <v>0</v>
      </c>
      <c r="G11" s="14">
        <f>7792+0.0006</f>
        <v>7792.0006</v>
      </c>
      <c r="H11" s="5">
        <f t="shared" si="0"/>
        <v>1.1429913454204073</v>
      </c>
    </row>
    <row r="12" spans="1:8" ht="15">
      <c r="A12" s="24"/>
      <c r="B12" s="13" t="s">
        <v>15</v>
      </c>
      <c r="C12" s="4"/>
      <c r="D12" s="5">
        <f>8365</f>
        <v>8365</v>
      </c>
      <c r="E12" s="14">
        <f>10348</f>
        <v>10348</v>
      </c>
      <c r="F12" s="14">
        <v>0</v>
      </c>
      <c r="G12" s="14">
        <f>D12-E12-F12+0.0005</f>
        <v>-1982.9995</v>
      </c>
      <c r="H12" s="5">
        <f t="shared" si="0"/>
        <v>-0.29088181364783194</v>
      </c>
    </row>
    <row r="13" spans="1:8" ht="15">
      <c r="A13" s="25"/>
      <c r="B13" s="11" t="s">
        <v>11</v>
      </c>
      <c r="C13" s="11"/>
      <c r="D13" s="12">
        <f>SUM(D11:D12)</f>
        <v>33922</v>
      </c>
      <c r="E13" s="15">
        <f>SUM(E11:E12)</f>
        <v>22424</v>
      </c>
      <c r="F13" s="15">
        <f>SUM(F11:F12)</f>
        <v>0</v>
      </c>
      <c r="G13" s="15">
        <f>SUM(G11:G12)</f>
        <v>5809.0011</v>
      </c>
      <c r="H13" s="5">
        <f t="shared" si="0"/>
        <v>0.8521095317725753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selection activeCell="C8" sqref="C8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7.8515625" style="0" customWidth="1"/>
    <col min="4" max="4" width="15.00390625" style="0" customWidth="1"/>
    <col min="5" max="5" width="16.7109375" style="0" customWidth="1"/>
    <col min="6" max="6" width="15.28125" style="0" customWidth="1"/>
    <col min="7" max="7" width="11.7109375" style="0" customWidth="1"/>
    <col min="8" max="8" width="12.140625" style="0" customWidth="1"/>
    <col min="9" max="9" width="9.57421875" style="0" bestFit="1" customWidth="1"/>
  </cols>
  <sheetData>
    <row r="3" spans="2:3" ht="15.75">
      <c r="B3" s="7" t="s">
        <v>34</v>
      </c>
      <c r="C3" s="7"/>
    </row>
    <row r="4" spans="1:8" ht="15">
      <c r="A4" s="26" t="s">
        <v>7</v>
      </c>
      <c r="B4" s="26"/>
      <c r="C4" s="26"/>
      <c r="D4" s="26"/>
      <c r="E4" s="26"/>
      <c r="F4" s="26"/>
      <c r="G4" s="26"/>
      <c r="H4" s="26"/>
    </row>
    <row r="5" spans="1:8" ht="75" customHeight="1">
      <c r="A5" s="27" t="s">
        <v>0</v>
      </c>
      <c r="B5" s="29" t="s">
        <v>1</v>
      </c>
      <c r="C5" s="27" t="s">
        <v>2</v>
      </c>
      <c r="D5" s="27" t="s">
        <v>10</v>
      </c>
      <c r="E5" s="27" t="s">
        <v>3</v>
      </c>
      <c r="F5" s="27" t="s">
        <v>4</v>
      </c>
      <c r="G5" s="27" t="s">
        <v>5</v>
      </c>
      <c r="H5" s="29" t="s">
        <v>6</v>
      </c>
    </row>
    <row r="6" spans="1:8" ht="15" customHeight="1">
      <c r="A6" s="28"/>
      <c r="B6" s="30"/>
      <c r="C6" s="28"/>
      <c r="D6" s="28"/>
      <c r="E6" s="28"/>
      <c r="F6" s="28"/>
      <c r="G6" s="28"/>
      <c r="H6" s="30"/>
    </row>
    <row r="7" spans="1:10" ht="15.75">
      <c r="A7" s="8">
        <v>1</v>
      </c>
      <c r="B7" s="9" t="s">
        <v>13</v>
      </c>
      <c r="C7" s="18"/>
      <c r="D7" s="19">
        <v>37.79</v>
      </c>
      <c r="E7" s="19">
        <f>20.9906+27.6276-5.997296-0.0006</f>
        <v>42.620304000000004</v>
      </c>
      <c r="F7" s="20">
        <v>0.32</v>
      </c>
      <c r="G7" s="4">
        <f>D7-E7-F7+0.5381</f>
        <v>-4.6122040000000055</v>
      </c>
      <c r="H7" s="5">
        <f>G7/6817.2</f>
        <v>-0.0006765540104441715</v>
      </c>
      <c r="J7" s="6"/>
    </row>
    <row r="8" spans="1:10" ht="15">
      <c r="A8" s="2">
        <v>2</v>
      </c>
      <c r="B8" s="3" t="s">
        <v>8</v>
      </c>
      <c r="C8" s="5"/>
      <c r="D8" s="21">
        <v>469.8</v>
      </c>
      <c r="E8" s="22">
        <f>263.67+347.08-75.2</f>
        <v>535.55</v>
      </c>
      <c r="F8" s="14">
        <v>4.07</v>
      </c>
      <c r="G8" s="4">
        <f>D8-E8-F8+7.4397</f>
        <v>-62.380299999999934</v>
      </c>
      <c r="H8" s="5">
        <f aca="true" t="shared" si="0" ref="H8:H13">G8/6817.2</f>
        <v>-0.00915042832834594</v>
      </c>
      <c r="J8" s="6"/>
    </row>
    <row r="9" spans="1:10" ht="15">
      <c r="A9" s="2">
        <v>3</v>
      </c>
      <c r="B9" s="3" t="s">
        <v>12</v>
      </c>
      <c r="C9" s="4" t="s">
        <v>35</v>
      </c>
      <c r="D9" s="4">
        <f>13825-13194</f>
        <v>631</v>
      </c>
      <c r="E9" s="12">
        <f>271.6+521.05-77.6</f>
        <v>715.05</v>
      </c>
      <c r="F9" s="14">
        <v>0</v>
      </c>
      <c r="G9" s="4">
        <f>D9-E9-F9+4.3327</f>
        <v>-79.71729999999995</v>
      </c>
      <c r="H9" s="5">
        <f t="shared" si="0"/>
        <v>-0.011693554538520208</v>
      </c>
      <c r="J9" s="6"/>
    </row>
    <row r="10" spans="1:8" ht="15">
      <c r="A10" s="2">
        <v>4</v>
      </c>
      <c r="B10" s="3" t="s">
        <v>9</v>
      </c>
      <c r="C10" s="4"/>
      <c r="D10" s="12">
        <f>D8+D9</f>
        <v>1100.8</v>
      </c>
      <c r="E10" s="4">
        <f>446.4+783.18+124.22+49.6-152.8</f>
        <v>1250.6</v>
      </c>
      <c r="F10" s="14">
        <f>F8+F9</f>
        <v>4.07</v>
      </c>
      <c r="G10" s="4">
        <v>0</v>
      </c>
      <c r="H10" s="5">
        <f t="shared" si="0"/>
        <v>0</v>
      </c>
    </row>
    <row r="11" spans="1:8" ht="15">
      <c r="A11" s="23">
        <v>5</v>
      </c>
      <c r="B11" s="13" t="s">
        <v>14</v>
      </c>
      <c r="C11" s="4"/>
      <c r="D11" s="5">
        <f>19447</f>
        <v>19447</v>
      </c>
      <c r="E11" s="4">
        <f>16235-1302-453</f>
        <v>14480</v>
      </c>
      <c r="F11" s="4">
        <v>0</v>
      </c>
      <c r="G11" s="4">
        <f>D11-E11-F11+0.0005</f>
        <v>4967.0005</v>
      </c>
      <c r="H11" s="5">
        <f t="shared" si="0"/>
        <v>0.7285983248254415</v>
      </c>
    </row>
    <row r="12" spans="1:8" ht="15">
      <c r="A12" s="31"/>
      <c r="B12" s="13" t="s">
        <v>15</v>
      </c>
      <c r="C12" s="4"/>
      <c r="D12" s="5">
        <v>6135</v>
      </c>
      <c r="E12" s="4">
        <v>5855</v>
      </c>
      <c r="F12" s="4">
        <v>0</v>
      </c>
      <c r="G12" s="4">
        <f>D12-E12-F12-0.0006</f>
        <v>279.9994</v>
      </c>
      <c r="H12" s="5">
        <f t="shared" si="0"/>
        <v>0.04107249310567388</v>
      </c>
    </row>
    <row r="13" spans="1:8" ht="15">
      <c r="A13" s="25"/>
      <c r="B13" s="11" t="s">
        <v>11</v>
      </c>
      <c r="C13" s="11"/>
      <c r="D13" s="12">
        <f>SUM(D11:D12)</f>
        <v>25582</v>
      </c>
      <c r="E13" s="12">
        <f>SUM(E11:E12)</f>
        <v>20335</v>
      </c>
      <c r="F13" s="12">
        <f>SUM(F11:F12)</f>
        <v>0</v>
      </c>
      <c r="G13" s="12">
        <f>SUM(G11:G12)</f>
        <v>5246.9999</v>
      </c>
      <c r="H13" s="5">
        <f t="shared" si="0"/>
        <v>0.7696708179311154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selection activeCell="A3" sqref="A3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7.8515625" style="0" customWidth="1"/>
    <col min="4" max="4" width="15.00390625" style="0" customWidth="1"/>
    <col min="5" max="5" width="16.7109375" style="0" customWidth="1"/>
    <col min="6" max="6" width="15.28125" style="0" customWidth="1"/>
    <col min="7" max="7" width="11.7109375" style="0" customWidth="1"/>
    <col min="8" max="8" width="12.140625" style="0" customWidth="1"/>
    <col min="9" max="9" width="9.57421875" style="0" bestFit="1" customWidth="1"/>
  </cols>
  <sheetData>
    <row r="3" spans="2:3" ht="15.75">
      <c r="B3" s="7" t="s">
        <v>36</v>
      </c>
      <c r="C3" s="7"/>
    </row>
    <row r="4" spans="1:8" ht="15">
      <c r="A4" s="26" t="s">
        <v>7</v>
      </c>
      <c r="B4" s="26"/>
      <c r="C4" s="26"/>
      <c r="D4" s="26"/>
      <c r="E4" s="26"/>
      <c r="F4" s="26"/>
      <c r="G4" s="26"/>
      <c r="H4" s="26"/>
    </row>
    <row r="5" spans="1:8" ht="75" customHeight="1">
      <c r="A5" s="27" t="s">
        <v>0</v>
      </c>
      <c r="B5" s="29" t="s">
        <v>1</v>
      </c>
      <c r="C5" s="27" t="s">
        <v>2</v>
      </c>
      <c r="D5" s="27" t="s">
        <v>10</v>
      </c>
      <c r="E5" s="27" t="s">
        <v>3</v>
      </c>
      <c r="F5" s="27" t="s">
        <v>4</v>
      </c>
      <c r="G5" s="27" t="s">
        <v>5</v>
      </c>
      <c r="H5" s="29" t="s">
        <v>6</v>
      </c>
    </row>
    <row r="6" spans="1:8" ht="15" customHeight="1">
      <c r="A6" s="28"/>
      <c r="B6" s="30"/>
      <c r="C6" s="28"/>
      <c r="D6" s="28"/>
      <c r="E6" s="28"/>
      <c r="F6" s="28"/>
      <c r="G6" s="28"/>
      <c r="H6" s="30"/>
    </row>
    <row r="7" spans="1:10" ht="15.75">
      <c r="A7" s="8">
        <v>1</v>
      </c>
      <c r="B7" s="9" t="s">
        <v>13</v>
      </c>
      <c r="C7" s="18"/>
      <c r="D7" s="19">
        <f>43.52</f>
        <v>43.52</v>
      </c>
      <c r="E7" s="19">
        <f>22.4236-6.406735+25.9497-0.0004</f>
        <v>41.966165000000004</v>
      </c>
      <c r="F7" s="20">
        <f>0.39</f>
        <v>0.39</v>
      </c>
      <c r="G7" s="4">
        <f>D7-E7-F7-0.0003</f>
        <v>1.1635349999999993</v>
      </c>
      <c r="H7" s="5">
        <f>G7/6812.5</f>
        <v>0.00017079412844036687</v>
      </c>
      <c r="J7" s="6"/>
    </row>
    <row r="8" spans="1:10" ht="15">
      <c r="A8" s="2">
        <v>2</v>
      </c>
      <c r="B8" s="3" t="s">
        <v>8</v>
      </c>
      <c r="C8" s="5"/>
      <c r="D8" s="21">
        <f>521.5</f>
        <v>521.5</v>
      </c>
      <c r="E8" s="22">
        <f>258.06-73.6+298.96</f>
        <v>483.41999999999996</v>
      </c>
      <c r="F8" s="14">
        <f>4.52</f>
        <v>4.52</v>
      </c>
      <c r="G8" s="4">
        <f>20.9124+0.0001</f>
        <v>20.9125</v>
      </c>
      <c r="H8" s="5">
        <f aca="true" t="shared" si="0" ref="H8:H13">G8/6812.5</f>
        <v>0.003069724770642202</v>
      </c>
      <c r="J8" s="6"/>
    </row>
    <row r="9" spans="1:10" ht="15">
      <c r="A9" s="2">
        <v>3</v>
      </c>
      <c r="B9" s="3" t="s">
        <v>12</v>
      </c>
      <c r="C9" s="4" t="s">
        <v>37</v>
      </c>
      <c r="D9" s="4">
        <f>14535-13825</f>
        <v>710</v>
      </c>
      <c r="E9" s="12">
        <f>264.81-75.66+487.05</f>
        <v>676.2</v>
      </c>
      <c r="F9" s="14">
        <f>0</f>
        <v>0</v>
      </c>
      <c r="G9" s="4">
        <f>20.9124+0.0001</f>
        <v>20.9125</v>
      </c>
      <c r="H9" s="5">
        <f t="shared" si="0"/>
        <v>0.003069724770642202</v>
      </c>
      <c r="J9" s="6"/>
    </row>
    <row r="10" spans="1:8" ht="15">
      <c r="A10" s="2">
        <v>4</v>
      </c>
      <c r="B10" s="3" t="s">
        <v>9</v>
      </c>
      <c r="C10" s="4"/>
      <c r="D10" s="12">
        <f>D8+D9</f>
        <v>1231.5</v>
      </c>
      <c r="E10" s="4">
        <f>434-123.9+701.08+124.2-17.6+49.6-7.76</f>
        <v>1159.6200000000001</v>
      </c>
      <c r="F10" s="14">
        <f>F8+F9</f>
        <v>4.52</v>
      </c>
      <c r="G10" s="4">
        <v>0</v>
      </c>
      <c r="H10" s="5">
        <f t="shared" si="0"/>
        <v>0</v>
      </c>
    </row>
    <row r="11" spans="1:8" ht="15">
      <c r="A11" s="23">
        <v>5</v>
      </c>
      <c r="B11" s="13" t="s">
        <v>14</v>
      </c>
      <c r="C11" s="4"/>
      <c r="D11" s="5">
        <f>20975</f>
        <v>20975</v>
      </c>
      <c r="E11" s="4">
        <f>15250-2112-453</f>
        <v>12685</v>
      </c>
      <c r="F11" s="4">
        <v>0</v>
      </c>
      <c r="G11" s="4">
        <f>D11-E11-F11-0.0001</f>
        <v>8289.9999</v>
      </c>
      <c r="H11" s="5">
        <f t="shared" si="0"/>
        <v>1.2168807192660551</v>
      </c>
    </row>
    <row r="12" spans="1:8" ht="15">
      <c r="A12" s="31"/>
      <c r="B12" s="13" t="s">
        <v>15</v>
      </c>
      <c r="C12" s="4"/>
      <c r="D12" s="5">
        <f>6109</f>
        <v>6109</v>
      </c>
      <c r="E12" s="4">
        <f>12424</f>
        <v>12424</v>
      </c>
      <c r="F12" s="4">
        <v>0</v>
      </c>
      <c r="G12" s="4">
        <f>D12-E12-F12+0.0016</f>
        <v>-6314.9984</v>
      </c>
      <c r="H12" s="5">
        <f t="shared" si="0"/>
        <v>-0.9269722422018349</v>
      </c>
    </row>
    <row r="13" spans="1:8" ht="15">
      <c r="A13" s="25"/>
      <c r="B13" s="11" t="s">
        <v>11</v>
      </c>
      <c r="C13" s="11"/>
      <c r="D13" s="12">
        <f>SUM(D11:D12)</f>
        <v>27084</v>
      </c>
      <c r="E13" s="12">
        <f>SUM(E11:E12)</f>
        <v>25109</v>
      </c>
      <c r="F13" s="12">
        <f>SUM(F11:F12)</f>
        <v>0</v>
      </c>
      <c r="G13" s="12">
        <f>SUM(G11:G12)</f>
        <v>1975.0015000000003</v>
      </c>
      <c r="H13" s="5">
        <f t="shared" si="0"/>
        <v>0.28990847706422024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25"/>
  <sheetViews>
    <sheetView tabSelected="1" workbookViewId="0" topLeftCell="A1">
      <selection activeCell="A3" sqref="A3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7.8515625" style="0" customWidth="1"/>
    <col min="4" max="4" width="15.00390625" style="0" customWidth="1"/>
    <col min="5" max="5" width="16.7109375" style="0" customWidth="1"/>
    <col min="6" max="6" width="15.28125" style="0" customWidth="1"/>
    <col min="7" max="7" width="11.7109375" style="0" customWidth="1"/>
    <col min="8" max="8" width="12.140625" style="0" customWidth="1"/>
    <col min="9" max="9" width="9.57421875" style="0" bestFit="1" customWidth="1"/>
  </cols>
  <sheetData>
    <row r="3" spans="2:3" ht="15.75">
      <c r="B3" s="7" t="s">
        <v>38</v>
      </c>
      <c r="C3" s="7"/>
    </row>
    <row r="4" spans="1:8" ht="15">
      <c r="A4" s="26" t="s">
        <v>7</v>
      </c>
      <c r="B4" s="26"/>
      <c r="C4" s="26"/>
      <c r="D4" s="26"/>
      <c r="E4" s="26"/>
      <c r="F4" s="26"/>
      <c r="G4" s="26"/>
      <c r="H4" s="26"/>
    </row>
    <row r="5" spans="1:8" ht="75" customHeight="1">
      <c r="A5" s="27" t="s">
        <v>0</v>
      </c>
      <c r="B5" s="29" t="s">
        <v>1</v>
      </c>
      <c r="C5" s="27" t="s">
        <v>2</v>
      </c>
      <c r="D5" s="27" t="s">
        <v>10</v>
      </c>
      <c r="E5" s="27" t="s">
        <v>3</v>
      </c>
      <c r="F5" s="27" t="s">
        <v>4</v>
      </c>
      <c r="G5" s="27" t="s">
        <v>5</v>
      </c>
      <c r="H5" s="29" t="s">
        <v>6</v>
      </c>
    </row>
    <row r="6" spans="1:8" ht="15" customHeight="1">
      <c r="A6" s="28"/>
      <c r="B6" s="30"/>
      <c r="C6" s="28"/>
      <c r="D6" s="28"/>
      <c r="E6" s="28"/>
      <c r="F6" s="28"/>
      <c r="G6" s="28"/>
      <c r="H6" s="30"/>
    </row>
    <row r="7" spans="1:10" ht="15.75">
      <c r="A7" s="8">
        <v>1</v>
      </c>
      <c r="B7" s="9" t="s">
        <v>13</v>
      </c>
      <c r="C7" s="18"/>
      <c r="D7" s="19">
        <f>48.91</f>
        <v>48.91</v>
      </c>
      <c r="E7" s="19">
        <f>17.3721+17.8367-5.790712-0.0002</f>
        <v>29.417887999999998</v>
      </c>
      <c r="F7" s="20">
        <f>0.45</f>
        <v>0.45</v>
      </c>
      <c r="G7" s="14">
        <f>20.9124*0.0602+0.0005</f>
        <v>1.25942648</v>
      </c>
      <c r="H7" s="5">
        <f aca="true" t="shared" si="0" ref="H7:H13">G7/6812.5</f>
        <v>0.0001848699420183486</v>
      </c>
      <c r="J7" s="6"/>
    </row>
    <row r="8" spans="1:10" ht="15">
      <c r="A8" s="2">
        <v>2</v>
      </c>
      <c r="B8" s="3" t="s">
        <v>8</v>
      </c>
      <c r="C8" s="5"/>
      <c r="D8" s="21">
        <f>868.1</f>
        <v>868.1</v>
      </c>
      <c r="E8" s="22">
        <f>288.48+296.29-96</f>
        <v>488.77</v>
      </c>
      <c r="F8" s="4">
        <f>7.53</f>
        <v>7.53</v>
      </c>
      <c r="G8" s="4">
        <f>20.9124+0.0001</f>
        <v>20.9125</v>
      </c>
      <c r="H8" s="5">
        <f t="shared" si="0"/>
        <v>0.003069724770642202</v>
      </c>
      <c r="J8" s="6"/>
    </row>
    <row r="9" spans="1:10" ht="15">
      <c r="A9" s="2">
        <v>3</v>
      </c>
      <c r="B9" s="3" t="s">
        <v>12</v>
      </c>
      <c r="C9" s="4" t="s">
        <v>39</v>
      </c>
      <c r="D9" s="4">
        <f>15201-14535</f>
        <v>666</v>
      </c>
      <c r="E9" s="12">
        <f>298.07+460.65-99.22</f>
        <v>659.5</v>
      </c>
      <c r="F9" s="4">
        <f>0.33</f>
        <v>0.33</v>
      </c>
      <c r="G9" s="4">
        <f>D9-E9-F9+0.3293</f>
        <v>6.4993</v>
      </c>
      <c r="H9" s="5">
        <f t="shared" si="0"/>
        <v>0.0009540256880733944</v>
      </c>
      <c r="J9" s="6"/>
    </row>
    <row r="10" spans="1:8" ht="15">
      <c r="A10" s="2">
        <v>4</v>
      </c>
      <c r="B10" s="3" t="s">
        <v>9</v>
      </c>
      <c r="C10" s="4"/>
      <c r="D10" s="12">
        <f>D8+D9</f>
        <v>1534.1</v>
      </c>
      <c r="E10" s="4">
        <f>491.36+665.97+133.04+53.12-163.54-22-9.68</f>
        <v>1148.2699999999998</v>
      </c>
      <c r="F10" s="14">
        <f>F8+F9</f>
        <v>7.86</v>
      </c>
      <c r="G10" s="4">
        <v>0</v>
      </c>
      <c r="H10" s="5">
        <f t="shared" si="0"/>
        <v>0</v>
      </c>
    </row>
    <row r="11" spans="1:8" ht="15">
      <c r="A11" s="23">
        <v>5</v>
      </c>
      <c r="B11" s="13" t="s">
        <v>14</v>
      </c>
      <c r="C11" s="4"/>
      <c r="D11" s="5">
        <f>15305</f>
        <v>15305</v>
      </c>
      <c r="E11" s="4">
        <f>18330-5782-488</f>
        <v>12060</v>
      </c>
      <c r="F11" s="4">
        <v>0</v>
      </c>
      <c r="G11" s="4">
        <f>D11-E11-F11-0.0001</f>
        <v>3244.9999</v>
      </c>
      <c r="H11" s="5">
        <f t="shared" si="0"/>
        <v>0.4763302605504587</v>
      </c>
    </row>
    <row r="12" spans="1:8" ht="15">
      <c r="A12" s="31"/>
      <c r="B12" s="13" t="s">
        <v>15</v>
      </c>
      <c r="C12" s="4"/>
      <c r="D12" s="5">
        <f>4905</f>
        <v>4905</v>
      </c>
      <c r="E12" s="4">
        <f>4793</f>
        <v>4793</v>
      </c>
      <c r="F12" s="4">
        <v>0</v>
      </c>
      <c r="G12" s="4">
        <f>D12-E12-F12-0.0002</f>
        <v>111.9998</v>
      </c>
      <c r="H12" s="5">
        <f t="shared" si="0"/>
        <v>0.016440337614678897</v>
      </c>
    </row>
    <row r="13" spans="1:8" ht="15">
      <c r="A13" s="25"/>
      <c r="B13" s="11" t="s">
        <v>11</v>
      </c>
      <c r="C13" s="11"/>
      <c r="D13" s="12">
        <f>SUM(D11:D12)</f>
        <v>20210</v>
      </c>
      <c r="E13" s="12">
        <f>SUM(E11:E12)</f>
        <v>16853</v>
      </c>
      <c r="F13" s="12">
        <f>SUM(F11:F12)</f>
        <v>0</v>
      </c>
      <c r="G13" s="12">
        <f>SUM(G11:G12)</f>
        <v>3356.9997</v>
      </c>
      <c r="H13" s="5">
        <f t="shared" si="0"/>
        <v>0.4927705981651376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selection activeCell="E11" sqref="E11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7.8515625" style="0" customWidth="1"/>
    <col min="4" max="4" width="15.00390625" style="0" customWidth="1"/>
    <col min="5" max="5" width="16.7109375" style="0" customWidth="1"/>
    <col min="6" max="6" width="15.28125" style="0" customWidth="1"/>
    <col min="7" max="7" width="11.7109375" style="0" customWidth="1"/>
    <col min="8" max="8" width="12.140625" style="0" customWidth="1"/>
    <col min="9" max="9" width="9.57421875" style="0" bestFit="1" customWidth="1"/>
  </cols>
  <sheetData>
    <row r="3" spans="2:3" ht="15.75">
      <c r="B3" s="7" t="s">
        <v>18</v>
      </c>
      <c r="C3" s="7"/>
    </row>
    <row r="4" spans="1:8" ht="15">
      <c r="A4" s="26" t="s">
        <v>7</v>
      </c>
      <c r="B4" s="26"/>
      <c r="C4" s="26"/>
      <c r="D4" s="26"/>
      <c r="E4" s="26"/>
      <c r="F4" s="26"/>
      <c r="G4" s="26"/>
      <c r="H4" s="26"/>
    </row>
    <row r="5" spans="1:8" ht="75" customHeight="1">
      <c r="A5" s="27" t="s">
        <v>0</v>
      </c>
      <c r="B5" s="29" t="s">
        <v>1</v>
      </c>
      <c r="C5" s="27" t="s">
        <v>2</v>
      </c>
      <c r="D5" s="27" t="s">
        <v>10</v>
      </c>
      <c r="E5" s="27" t="s">
        <v>3</v>
      </c>
      <c r="F5" s="27" t="s">
        <v>4</v>
      </c>
      <c r="G5" s="27" t="s">
        <v>5</v>
      </c>
      <c r="H5" s="29" t="s">
        <v>6</v>
      </c>
    </row>
    <row r="6" spans="1:8" ht="15" customHeight="1">
      <c r="A6" s="28"/>
      <c r="B6" s="30"/>
      <c r="C6" s="28"/>
      <c r="D6" s="28"/>
      <c r="E6" s="28"/>
      <c r="F6" s="28"/>
      <c r="G6" s="28"/>
      <c r="H6" s="30"/>
    </row>
    <row r="7" spans="1:10" ht="15">
      <c r="A7" s="8">
        <v>1</v>
      </c>
      <c r="B7" s="9" t="s">
        <v>13</v>
      </c>
      <c r="C7" s="8"/>
      <c r="D7" s="10">
        <f>45.29</f>
        <v>45.29</v>
      </c>
      <c r="E7" s="10">
        <f>E8*0.0478+0.0016</f>
        <v>21.191032693800004</v>
      </c>
      <c r="F7" s="10">
        <f>0.4</f>
        <v>0.4</v>
      </c>
      <c r="G7" s="14">
        <f>G8*0.0478+0.0007</f>
        <v>1.0002936000000002</v>
      </c>
      <c r="H7" s="5">
        <f aca="true" t="shared" si="0" ref="H7:H13">G7/6817.2</f>
        <v>0.0001467308572434431</v>
      </c>
      <c r="J7" s="6"/>
    </row>
    <row r="8" spans="1:10" ht="15">
      <c r="A8" s="2">
        <v>2</v>
      </c>
      <c r="B8" s="3" t="s">
        <v>8</v>
      </c>
      <c r="C8" s="5"/>
      <c r="D8" s="5">
        <f>490.2</f>
        <v>490.2</v>
      </c>
      <c r="E8" s="14">
        <f>377.6797-107.716129+173.33</f>
        <v>443.29357100000004</v>
      </c>
      <c r="F8" s="14">
        <f>4.18</f>
        <v>4.18</v>
      </c>
      <c r="G8" s="14">
        <f>20.9124-0.0004</f>
        <v>20.912000000000003</v>
      </c>
      <c r="H8" s="5">
        <f t="shared" si="0"/>
        <v>0.0030675350583817406</v>
      </c>
      <c r="J8" s="6"/>
    </row>
    <row r="9" spans="1:10" ht="15">
      <c r="A9" s="2">
        <v>3</v>
      </c>
      <c r="B9" s="3" t="s">
        <v>12</v>
      </c>
      <c r="C9" s="4" t="s">
        <v>19</v>
      </c>
      <c r="D9" s="4">
        <f>9094-8406</f>
        <v>688</v>
      </c>
      <c r="E9" s="14">
        <f>341.6903-97.625806+387.77+6.56</f>
        <v>638.3944939999999</v>
      </c>
      <c r="F9" s="14">
        <v>0</v>
      </c>
      <c r="G9" s="14">
        <f>20.9124-0.0004</f>
        <v>20.912000000000003</v>
      </c>
      <c r="H9" s="5">
        <f t="shared" si="0"/>
        <v>0.0030675350583817406</v>
      </c>
      <c r="J9" s="6"/>
    </row>
    <row r="10" spans="1:8" ht="15">
      <c r="A10" s="2">
        <v>4</v>
      </c>
      <c r="B10" s="3" t="s">
        <v>9</v>
      </c>
      <c r="C10" s="4"/>
      <c r="D10" s="4">
        <f>D8+D9</f>
        <v>1178.2</v>
      </c>
      <c r="E10" s="16">
        <f>410.4181+444.22+14.2+162.21+24.75+25.89</f>
        <v>1081.6881</v>
      </c>
      <c r="F10" s="14">
        <f>F8+F9</f>
        <v>4.18</v>
      </c>
      <c r="G10" s="14">
        <v>0</v>
      </c>
      <c r="H10" s="5">
        <f t="shared" si="0"/>
        <v>0</v>
      </c>
    </row>
    <row r="11" spans="1:8" ht="15">
      <c r="A11" s="23">
        <v>5</v>
      </c>
      <c r="B11" s="13" t="s">
        <v>14</v>
      </c>
      <c r="C11" s="4"/>
      <c r="D11" s="5">
        <f>19418</f>
        <v>19418</v>
      </c>
      <c r="E11" s="14">
        <f>15670-800</f>
        <v>14870</v>
      </c>
      <c r="F11" s="14">
        <v>0</v>
      </c>
      <c r="G11" s="14">
        <f>D11-E11-F11+0.0012</f>
        <v>4548.0012</v>
      </c>
      <c r="H11" s="5">
        <f t="shared" si="0"/>
        <v>0.6671362436190811</v>
      </c>
    </row>
    <row r="12" spans="1:8" ht="15">
      <c r="A12" s="24"/>
      <c r="B12" s="13" t="s">
        <v>15</v>
      </c>
      <c r="C12" s="4"/>
      <c r="D12" s="5">
        <f>6065</f>
        <v>6065</v>
      </c>
      <c r="E12" s="14">
        <f>11557</f>
        <v>11557</v>
      </c>
      <c r="F12" s="14">
        <v>0</v>
      </c>
      <c r="G12" s="14">
        <v>-5370.2712</v>
      </c>
      <c r="H12" s="5">
        <f t="shared" si="0"/>
        <v>-0.7877532124625947</v>
      </c>
    </row>
    <row r="13" spans="1:8" ht="15">
      <c r="A13" s="25"/>
      <c r="B13" s="11" t="s">
        <v>11</v>
      </c>
      <c r="C13" s="11"/>
      <c r="D13" s="12">
        <f>SUM(D11:D12)</f>
        <v>25483</v>
      </c>
      <c r="E13" s="15">
        <f>SUM(E11:E12)</f>
        <v>26427</v>
      </c>
      <c r="F13" s="15">
        <f>SUM(F11:F12)</f>
        <v>0</v>
      </c>
      <c r="G13" s="15">
        <f>SUM(G11:G12)</f>
        <v>-822.2700000000004</v>
      </c>
      <c r="H13" s="5">
        <f t="shared" si="0"/>
        <v>-0.12061696884351353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selection activeCell="A3" sqref="A3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7.8515625" style="0" customWidth="1"/>
    <col min="4" max="4" width="15.00390625" style="0" customWidth="1"/>
    <col min="5" max="5" width="16.7109375" style="0" customWidth="1"/>
    <col min="6" max="6" width="15.28125" style="0" customWidth="1"/>
    <col min="7" max="7" width="11.7109375" style="0" customWidth="1"/>
    <col min="8" max="8" width="12.140625" style="0" customWidth="1"/>
    <col min="9" max="9" width="9.57421875" style="0" bestFit="1" customWidth="1"/>
  </cols>
  <sheetData>
    <row r="3" spans="2:3" ht="15.75">
      <c r="B3" s="7" t="s">
        <v>20</v>
      </c>
      <c r="C3" s="7"/>
    </row>
    <row r="4" spans="1:8" ht="15">
      <c r="A4" s="26" t="s">
        <v>7</v>
      </c>
      <c r="B4" s="26"/>
      <c r="C4" s="26"/>
      <c r="D4" s="26"/>
      <c r="E4" s="26"/>
      <c r="F4" s="26"/>
      <c r="G4" s="26"/>
      <c r="H4" s="26"/>
    </row>
    <row r="5" spans="1:8" ht="75" customHeight="1">
      <c r="A5" s="27" t="s">
        <v>0</v>
      </c>
      <c r="B5" s="29" t="s">
        <v>1</v>
      </c>
      <c r="C5" s="27" t="s">
        <v>2</v>
      </c>
      <c r="D5" s="27" t="s">
        <v>10</v>
      </c>
      <c r="E5" s="27" t="s">
        <v>3</v>
      </c>
      <c r="F5" s="27" t="s">
        <v>4</v>
      </c>
      <c r="G5" s="27" t="s">
        <v>5</v>
      </c>
      <c r="H5" s="29" t="s">
        <v>6</v>
      </c>
    </row>
    <row r="6" spans="1:8" ht="15" customHeight="1">
      <c r="A6" s="28"/>
      <c r="B6" s="30"/>
      <c r="C6" s="28"/>
      <c r="D6" s="28"/>
      <c r="E6" s="28"/>
      <c r="F6" s="28"/>
      <c r="G6" s="28"/>
      <c r="H6" s="30"/>
    </row>
    <row r="7" spans="1:10" ht="15">
      <c r="A7" s="8">
        <v>1</v>
      </c>
      <c r="B7" s="9" t="s">
        <v>13</v>
      </c>
      <c r="C7" s="8"/>
      <c r="D7" s="10">
        <f>51.91</f>
        <v>51.91</v>
      </c>
      <c r="E7" s="10">
        <f>E8*0.0478-0.2425</f>
        <v>21.250770000000003</v>
      </c>
      <c r="F7" s="10">
        <f>0.47</f>
        <v>0.47</v>
      </c>
      <c r="G7" s="14">
        <f>20.9124*0.0478+0.0007</f>
        <v>1.0003127200000002</v>
      </c>
      <c r="H7" s="5">
        <f aca="true" t="shared" si="0" ref="H7:H13">G7/6817.2</f>
        <v>0.0001467336619139823</v>
      </c>
      <c r="J7" s="6"/>
    </row>
    <row r="8" spans="1:10" ht="15">
      <c r="A8" s="2">
        <v>2</v>
      </c>
      <c r="B8" s="3" t="s">
        <v>8</v>
      </c>
      <c r="C8" s="5"/>
      <c r="D8" s="5">
        <f>545.4</f>
        <v>545.4</v>
      </c>
      <c r="E8" s="14">
        <f>347.82-99.2+195.58+5.45</f>
        <v>449.65000000000003</v>
      </c>
      <c r="F8" s="14">
        <f>4.73</f>
        <v>4.73</v>
      </c>
      <c r="G8" s="14">
        <f>20.9124-0.0004</f>
        <v>20.912000000000003</v>
      </c>
      <c r="H8" s="5">
        <f t="shared" si="0"/>
        <v>0.0030675350583817406</v>
      </c>
      <c r="J8" s="6"/>
    </row>
    <row r="9" spans="1:10" ht="15">
      <c r="A9" s="2">
        <v>3</v>
      </c>
      <c r="B9" s="3" t="s">
        <v>12</v>
      </c>
      <c r="C9" s="4" t="s">
        <v>21</v>
      </c>
      <c r="D9" s="4">
        <f>9775-9094</f>
        <v>681</v>
      </c>
      <c r="E9" s="14">
        <f>305.55-87.3+434.35+5.41</f>
        <v>658.01</v>
      </c>
      <c r="F9" s="17">
        <v>0</v>
      </c>
      <c r="G9" s="14">
        <f>20.9124-0.0004</f>
        <v>20.912000000000003</v>
      </c>
      <c r="H9" s="5">
        <f t="shared" si="0"/>
        <v>0.0030675350583817406</v>
      </c>
      <c r="J9" s="6"/>
    </row>
    <row r="10" spans="1:8" ht="15">
      <c r="A10" s="2">
        <v>4</v>
      </c>
      <c r="B10" s="3" t="s">
        <v>9</v>
      </c>
      <c r="C10" s="4"/>
      <c r="D10" s="4">
        <f>D8+D9</f>
        <v>1226.4</v>
      </c>
      <c r="E10" s="16">
        <f>363.26+509.47+40.47+154.78+13.58+26.1</f>
        <v>1107.6599999999999</v>
      </c>
      <c r="F10" s="17">
        <f>F8+F9</f>
        <v>4.73</v>
      </c>
      <c r="G10" s="14">
        <v>0</v>
      </c>
      <c r="H10" s="5">
        <f t="shared" si="0"/>
        <v>0</v>
      </c>
    </row>
    <row r="11" spans="1:8" ht="15">
      <c r="A11" s="23">
        <v>5</v>
      </c>
      <c r="B11" s="13" t="s">
        <v>14</v>
      </c>
      <c r="C11" s="4"/>
      <c r="D11" s="5">
        <f>18868</f>
        <v>18868</v>
      </c>
      <c r="E11" s="14">
        <f>15431</f>
        <v>15431</v>
      </c>
      <c r="F11" s="14">
        <v>0</v>
      </c>
      <c r="G11" s="14">
        <f>D11-E11-F11+0.0011</f>
        <v>3437.0011</v>
      </c>
      <c r="H11" s="5">
        <f t="shared" si="0"/>
        <v>0.5041660945842869</v>
      </c>
    </row>
    <row r="12" spans="1:8" ht="15">
      <c r="A12" s="24"/>
      <c r="B12" s="13" t="s">
        <v>15</v>
      </c>
      <c r="C12" s="4"/>
      <c r="D12" s="5">
        <f>6042</f>
        <v>6042</v>
      </c>
      <c r="E12" s="14">
        <f>9770</f>
        <v>9770</v>
      </c>
      <c r="F12" s="14">
        <v>0</v>
      </c>
      <c r="G12" s="14">
        <f>D12-E12-F12+5.6496</f>
        <v>-3722.3504</v>
      </c>
      <c r="H12" s="5">
        <f t="shared" si="0"/>
        <v>-0.5460233526961216</v>
      </c>
    </row>
    <row r="13" spans="1:8" ht="15">
      <c r="A13" s="25"/>
      <c r="B13" s="11" t="s">
        <v>11</v>
      </c>
      <c r="C13" s="11"/>
      <c r="D13" s="12">
        <f>SUM(D11:D12)</f>
        <v>24910</v>
      </c>
      <c r="E13" s="15">
        <f>SUM(E11:E12)</f>
        <v>25201</v>
      </c>
      <c r="F13" s="15">
        <f>SUM(F11:F12)</f>
        <v>0</v>
      </c>
      <c r="G13" s="15">
        <f>SUM(G11:G12)</f>
        <v>-285.34929999999986</v>
      </c>
      <c r="H13" s="5">
        <f t="shared" si="0"/>
        <v>-0.04185725811183475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selection activeCell="E5" sqref="E5:E6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7.8515625" style="0" customWidth="1"/>
    <col min="4" max="4" width="15.00390625" style="0" customWidth="1"/>
    <col min="5" max="5" width="16.7109375" style="0" customWidth="1"/>
    <col min="6" max="6" width="15.28125" style="0" customWidth="1"/>
    <col min="7" max="7" width="11.7109375" style="0" customWidth="1"/>
    <col min="8" max="8" width="12.140625" style="0" customWidth="1"/>
    <col min="9" max="9" width="9.57421875" style="0" bestFit="1" customWidth="1"/>
  </cols>
  <sheetData>
    <row r="3" spans="2:3" ht="15.75">
      <c r="B3" s="7" t="s">
        <v>22</v>
      </c>
      <c r="C3" s="7"/>
    </row>
    <row r="4" spans="1:8" ht="15">
      <c r="A4" s="26" t="s">
        <v>7</v>
      </c>
      <c r="B4" s="26"/>
      <c r="C4" s="26"/>
      <c r="D4" s="26"/>
      <c r="E4" s="26"/>
      <c r="F4" s="26"/>
      <c r="G4" s="26"/>
      <c r="H4" s="26"/>
    </row>
    <row r="5" spans="1:8" ht="75" customHeight="1">
      <c r="A5" s="27" t="s">
        <v>0</v>
      </c>
      <c r="B5" s="29" t="s">
        <v>1</v>
      </c>
      <c r="C5" s="27" t="s">
        <v>2</v>
      </c>
      <c r="D5" s="27" t="s">
        <v>10</v>
      </c>
      <c r="E5" s="27" t="s">
        <v>3</v>
      </c>
      <c r="F5" s="27" t="s">
        <v>4</v>
      </c>
      <c r="G5" s="27" t="s">
        <v>5</v>
      </c>
      <c r="H5" s="29" t="s">
        <v>6</v>
      </c>
    </row>
    <row r="6" spans="1:8" ht="15" customHeight="1">
      <c r="A6" s="28"/>
      <c r="B6" s="30"/>
      <c r="C6" s="28"/>
      <c r="D6" s="28"/>
      <c r="E6" s="28"/>
      <c r="F6" s="28"/>
      <c r="G6" s="28"/>
      <c r="H6" s="30"/>
    </row>
    <row r="7" spans="1:10" ht="15">
      <c r="A7" s="8">
        <v>1</v>
      </c>
      <c r="B7" s="9" t="s">
        <v>13</v>
      </c>
      <c r="C7" s="8"/>
      <c r="D7" s="10">
        <f>42.4</f>
        <v>42.4</v>
      </c>
      <c r="E7" s="10">
        <f>E8*0.0478+0.001606</f>
        <v>21.7855</v>
      </c>
      <c r="F7" s="10">
        <f>0.38</f>
        <v>0.38</v>
      </c>
      <c r="G7" s="14">
        <f>G8*0.0478+0.0007</f>
        <v>1.0002936000000002</v>
      </c>
      <c r="H7" s="5">
        <f aca="true" t="shared" si="0" ref="H7:H13">G7/6817.2</f>
        <v>0.0001467308572434431</v>
      </c>
      <c r="J7" s="6"/>
    </row>
    <row r="8" spans="1:10" ht="15">
      <c r="A8" s="2">
        <v>2</v>
      </c>
      <c r="B8" s="3" t="s">
        <v>8</v>
      </c>
      <c r="C8" s="5"/>
      <c r="D8" s="5">
        <f>494.6</f>
        <v>494.6</v>
      </c>
      <c r="E8" s="14">
        <f>347.82-99.2+199.66+7.45</f>
        <v>455.72999999999996</v>
      </c>
      <c r="F8" s="14">
        <f>4.29</f>
        <v>4.29</v>
      </c>
      <c r="G8" s="14">
        <f>20.9124-0.0004</f>
        <v>20.912000000000003</v>
      </c>
      <c r="H8" s="5">
        <f t="shared" si="0"/>
        <v>0.0030675350583817406</v>
      </c>
      <c r="J8" s="6"/>
    </row>
    <row r="9" spans="1:10" ht="15">
      <c r="A9" s="2">
        <v>3</v>
      </c>
      <c r="B9" s="3" t="s">
        <v>12</v>
      </c>
      <c r="C9" s="4" t="s">
        <v>23</v>
      </c>
      <c r="D9" s="4">
        <f>10341-9775</f>
        <v>566</v>
      </c>
      <c r="E9" s="14">
        <f>305.55-87.3+409.62+17.76</f>
        <v>645.63</v>
      </c>
      <c r="F9" s="17">
        <v>0</v>
      </c>
      <c r="G9" s="14">
        <f>D9-E9-F9+6.1726</f>
        <v>-73.45739999999999</v>
      </c>
      <c r="H9" s="5">
        <f t="shared" si="0"/>
        <v>-0.010775303643724695</v>
      </c>
      <c r="J9" s="6"/>
    </row>
    <row r="10" spans="1:8" ht="15">
      <c r="A10" s="2">
        <v>4</v>
      </c>
      <c r="B10" s="3" t="s">
        <v>9</v>
      </c>
      <c r="C10" s="4"/>
      <c r="D10" s="4">
        <f>D8+D9</f>
        <v>1060.6</v>
      </c>
      <c r="E10" s="16">
        <f>363.26+489.82+58.39+149.92+13.58+26.39</f>
        <v>1101.36</v>
      </c>
      <c r="F10" s="17">
        <f>F8+F9</f>
        <v>4.29</v>
      </c>
      <c r="G10" s="14">
        <v>0</v>
      </c>
      <c r="H10" s="5">
        <f t="shared" si="0"/>
        <v>0</v>
      </c>
    </row>
    <row r="11" spans="1:8" ht="15">
      <c r="A11" s="23">
        <v>5</v>
      </c>
      <c r="B11" s="13" t="s">
        <v>14</v>
      </c>
      <c r="C11" s="4"/>
      <c r="D11" s="5">
        <f>19070</f>
        <v>19070</v>
      </c>
      <c r="E11" s="14">
        <f>12716</f>
        <v>12716</v>
      </c>
      <c r="F11" s="14">
        <v>0</v>
      </c>
      <c r="G11" s="14">
        <f>D11-E11-F11-0.0002</f>
        <v>6353.9998</v>
      </c>
      <c r="H11" s="5">
        <f t="shared" si="0"/>
        <v>0.9320541864695182</v>
      </c>
    </row>
    <row r="12" spans="1:8" ht="15">
      <c r="A12" s="24"/>
      <c r="B12" s="13" t="s">
        <v>15</v>
      </c>
      <c r="C12" s="4"/>
      <c r="D12" s="5">
        <f>6306</f>
        <v>6306</v>
      </c>
      <c r="E12" s="14">
        <f>7690</f>
        <v>7690</v>
      </c>
      <c r="F12" s="14">
        <v>0</v>
      </c>
      <c r="G12" s="14">
        <f>D12-E12-F12+0.0008</f>
        <v>-1383.9992</v>
      </c>
      <c r="H12" s="5">
        <f t="shared" si="0"/>
        <v>-0.20301578360617262</v>
      </c>
    </row>
    <row r="13" spans="1:8" ht="15">
      <c r="A13" s="25"/>
      <c r="B13" s="11" t="s">
        <v>11</v>
      </c>
      <c r="C13" s="11"/>
      <c r="D13" s="12">
        <f>SUM(D11:D12)</f>
        <v>25376</v>
      </c>
      <c r="E13" s="15">
        <f>SUM(E11:E12)</f>
        <v>20406</v>
      </c>
      <c r="F13" s="15">
        <f>SUM(F11:F12)</f>
        <v>0</v>
      </c>
      <c r="G13" s="15">
        <f>SUM(G11:G12)</f>
        <v>4970.000599999999</v>
      </c>
      <c r="H13" s="5">
        <f t="shared" si="0"/>
        <v>0.7290384028633455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selection activeCell="D7" sqref="D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7.8515625" style="0" customWidth="1"/>
    <col min="4" max="4" width="15.00390625" style="0" customWidth="1"/>
    <col min="5" max="5" width="16.7109375" style="0" customWidth="1"/>
    <col min="6" max="6" width="15.28125" style="0" customWidth="1"/>
    <col min="7" max="7" width="11.7109375" style="0" customWidth="1"/>
    <col min="8" max="8" width="12.140625" style="0" customWidth="1"/>
    <col min="9" max="9" width="9.57421875" style="0" bestFit="1" customWidth="1"/>
  </cols>
  <sheetData>
    <row r="3" spans="2:3" ht="15.75">
      <c r="B3" s="7" t="s">
        <v>24</v>
      </c>
      <c r="C3" s="7"/>
    </row>
    <row r="4" spans="1:8" ht="15">
      <c r="A4" s="26" t="s">
        <v>7</v>
      </c>
      <c r="B4" s="26"/>
      <c r="C4" s="26"/>
      <c r="D4" s="26"/>
      <c r="E4" s="26"/>
      <c r="F4" s="26"/>
      <c r="G4" s="26"/>
      <c r="H4" s="26"/>
    </row>
    <row r="5" spans="1:8" ht="75" customHeight="1">
      <c r="A5" s="27" t="s">
        <v>0</v>
      </c>
      <c r="B5" s="29" t="s">
        <v>1</v>
      </c>
      <c r="C5" s="27" t="s">
        <v>2</v>
      </c>
      <c r="D5" s="27" t="s">
        <v>10</v>
      </c>
      <c r="E5" s="27" t="s">
        <v>3</v>
      </c>
      <c r="F5" s="27" t="s">
        <v>4</v>
      </c>
      <c r="G5" s="27" t="s">
        <v>5</v>
      </c>
      <c r="H5" s="29" t="s">
        <v>6</v>
      </c>
    </row>
    <row r="6" spans="1:8" ht="15" customHeight="1">
      <c r="A6" s="28"/>
      <c r="B6" s="30"/>
      <c r="C6" s="28"/>
      <c r="D6" s="28"/>
      <c r="E6" s="28"/>
      <c r="F6" s="28"/>
      <c r="G6" s="28"/>
      <c r="H6" s="30"/>
    </row>
    <row r="7" spans="1:10" ht="15">
      <c r="A7" s="8">
        <v>1</v>
      </c>
      <c r="B7" s="9" t="s">
        <v>13</v>
      </c>
      <c r="C7" s="8"/>
      <c r="D7" s="10">
        <f>34.35</f>
        <v>34.35</v>
      </c>
      <c r="E7" s="10">
        <f>21.02-6.005709+10.2692+0.1635-0.0007</f>
        <v>25.446291</v>
      </c>
      <c r="F7" s="10">
        <f>0.27</f>
        <v>0.27</v>
      </c>
      <c r="G7" s="14">
        <f>G8*0.0624-0.0005</f>
        <v>1.3044088000000003</v>
      </c>
      <c r="H7" s="5">
        <f aca="true" t="shared" si="0" ref="H7:H13">G7/6817.2</f>
        <v>0.00019134084374816644</v>
      </c>
      <c r="J7" s="6"/>
    </row>
    <row r="8" spans="1:10" ht="15">
      <c r="A8" s="2">
        <v>2</v>
      </c>
      <c r="B8" s="3" t="s">
        <v>8</v>
      </c>
      <c r="C8" s="5"/>
      <c r="D8" s="5">
        <f>490.6</f>
        <v>490.6</v>
      </c>
      <c r="E8" s="14">
        <f>336.6-96+164.57+2.62</f>
        <v>407.79</v>
      </c>
      <c r="F8" s="14">
        <f>4.25</f>
        <v>4.25</v>
      </c>
      <c r="G8" s="14">
        <f>20.9124-0.0004</f>
        <v>20.912000000000003</v>
      </c>
      <c r="H8" s="5">
        <f t="shared" si="0"/>
        <v>0.0030675350583817406</v>
      </c>
      <c r="J8" s="6"/>
    </row>
    <row r="9" spans="1:10" ht="15">
      <c r="A9" s="2">
        <v>3</v>
      </c>
      <c r="B9" s="3" t="s">
        <v>12</v>
      </c>
      <c r="C9" s="4" t="s">
        <v>25</v>
      </c>
      <c r="D9" s="4">
        <f>10912-10341</f>
        <v>571</v>
      </c>
      <c r="E9" s="14">
        <f>291.97-83.42+352.2+2.18</f>
        <v>562.93</v>
      </c>
      <c r="F9" s="17">
        <v>0</v>
      </c>
      <c r="G9" s="14">
        <f>D9-E9-F9-0.0007</f>
        <v>8.06930000000005</v>
      </c>
      <c r="H9" s="5">
        <f t="shared" si="0"/>
        <v>0.0011836677814938757</v>
      </c>
      <c r="J9" s="6"/>
    </row>
    <row r="10" spans="1:8" ht="15">
      <c r="A10" s="2">
        <v>4</v>
      </c>
      <c r="B10" s="3" t="s">
        <v>9</v>
      </c>
      <c r="C10" s="4"/>
      <c r="D10" s="4">
        <f>D8+D9</f>
        <v>1061.6</v>
      </c>
      <c r="E10" s="16">
        <f>345.54+417.76+15.49+151.57+13.58+26.78</f>
        <v>970.7199999999999</v>
      </c>
      <c r="F10" s="17">
        <f>F8+F9</f>
        <v>4.25</v>
      </c>
      <c r="G10" s="14">
        <v>0</v>
      </c>
      <c r="H10" s="5">
        <f t="shared" si="0"/>
        <v>0</v>
      </c>
    </row>
    <row r="11" spans="1:8" ht="15">
      <c r="A11" s="23">
        <v>5</v>
      </c>
      <c r="B11" s="13" t="s">
        <v>14</v>
      </c>
      <c r="C11" s="4"/>
      <c r="D11" s="5">
        <f>15230</f>
        <v>15230</v>
      </c>
      <c r="E11" s="14">
        <f>10348</f>
        <v>10348</v>
      </c>
      <c r="F11" s="14">
        <v>0</v>
      </c>
      <c r="G11" s="14">
        <f>D11-E11-F11-0.0008</f>
        <v>4881.9992</v>
      </c>
      <c r="H11" s="5">
        <f t="shared" si="0"/>
        <v>0.7161296720061022</v>
      </c>
    </row>
    <row r="12" spans="1:8" ht="15">
      <c r="A12" s="24"/>
      <c r="B12" s="13" t="s">
        <v>15</v>
      </c>
      <c r="C12" s="4"/>
      <c r="D12" s="5">
        <f>5088</f>
        <v>5088</v>
      </c>
      <c r="E12" s="14">
        <f>6454</f>
        <v>6454</v>
      </c>
      <c r="F12" s="14">
        <v>0</v>
      </c>
      <c r="G12" s="14">
        <f>D12-E12-F12-0.0004</f>
        <v>-1366.0004</v>
      </c>
      <c r="H12" s="5">
        <f t="shared" si="0"/>
        <v>-0.20037557941676934</v>
      </c>
    </row>
    <row r="13" spans="1:8" ht="15">
      <c r="A13" s="25"/>
      <c r="B13" s="11" t="s">
        <v>11</v>
      </c>
      <c r="C13" s="11"/>
      <c r="D13" s="12">
        <f>SUM(D11:D12)</f>
        <v>20318</v>
      </c>
      <c r="E13" s="15">
        <f>SUM(E11:E12)</f>
        <v>16802</v>
      </c>
      <c r="F13" s="15">
        <f>SUM(F11:F12)</f>
        <v>0</v>
      </c>
      <c r="G13" s="15">
        <f>SUM(G11:G12)</f>
        <v>3515.9988000000003</v>
      </c>
      <c r="H13" s="5">
        <f t="shared" si="0"/>
        <v>0.5157540925893329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selection activeCell="B5" sqref="B5:B6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7.8515625" style="0" customWidth="1"/>
    <col min="4" max="4" width="15.00390625" style="0" customWidth="1"/>
    <col min="5" max="5" width="16.7109375" style="0" customWidth="1"/>
    <col min="6" max="6" width="15.28125" style="0" customWidth="1"/>
    <col min="7" max="7" width="11.7109375" style="0" customWidth="1"/>
    <col min="8" max="8" width="12.140625" style="0" customWidth="1"/>
    <col min="9" max="9" width="9.57421875" style="0" bestFit="1" customWidth="1"/>
  </cols>
  <sheetData>
    <row r="3" spans="2:3" ht="15.75">
      <c r="B3" s="7" t="s">
        <v>26</v>
      </c>
      <c r="C3" s="7"/>
    </row>
    <row r="4" spans="1:8" ht="15">
      <c r="A4" s="26" t="s">
        <v>7</v>
      </c>
      <c r="B4" s="26"/>
      <c r="C4" s="26"/>
      <c r="D4" s="26"/>
      <c r="E4" s="26"/>
      <c r="F4" s="26"/>
      <c r="G4" s="26"/>
      <c r="H4" s="26"/>
    </row>
    <row r="5" spans="1:8" ht="75" customHeight="1">
      <c r="A5" s="27" t="s">
        <v>0</v>
      </c>
      <c r="B5" s="29" t="s">
        <v>1</v>
      </c>
      <c r="C5" s="27" t="s">
        <v>2</v>
      </c>
      <c r="D5" s="27" t="s">
        <v>10</v>
      </c>
      <c r="E5" s="27" t="s">
        <v>3</v>
      </c>
      <c r="F5" s="27" t="s">
        <v>4</v>
      </c>
      <c r="G5" s="27" t="s">
        <v>5</v>
      </c>
      <c r="H5" s="29" t="s">
        <v>6</v>
      </c>
    </row>
    <row r="6" spans="1:8" ht="15" customHeight="1">
      <c r="A6" s="28"/>
      <c r="B6" s="30"/>
      <c r="C6" s="28"/>
      <c r="D6" s="28"/>
      <c r="E6" s="28"/>
      <c r="F6" s="28"/>
      <c r="G6" s="28"/>
      <c r="H6" s="30"/>
    </row>
    <row r="7" spans="1:10" ht="15">
      <c r="A7" s="8">
        <v>1</v>
      </c>
      <c r="B7" s="9" t="s">
        <v>13</v>
      </c>
      <c r="C7" s="8"/>
      <c r="D7" s="10">
        <f>36.36</f>
        <v>36.36</v>
      </c>
      <c r="E7" s="10">
        <f>16.1021-5.367331+13.5499+0.3198</f>
        <v>24.604469</v>
      </c>
      <c r="F7" s="10">
        <f>0.3</f>
        <v>0.3</v>
      </c>
      <c r="G7" s="14">
        <f>G8*0.0478+0.0007</f>
        <v>1.0002936000000002</v>
      </c>
      <c r="H7" s="5">
        <f aca="true" t="shared" si="0" ref="H7:H13">G7/6817.2</f>
        <v>0.0001467308572434431</v>
      </c>
      <c r="J7" s="6"/>
    </row>
    <row r="8" spans="1:10" ht="15">
      <c r="A8" s="2">
        <v>2</v>
      </c>
      <c r="B8" s="3" t="s">
        <v>8</v>
      </c>
      <c r="C8" s="5"/>
      <c r="D8" s="5">
        <f>760.59</f>
        <v>760.59</v>
      </c>
      <c r="E8" s="14">
        <f>336.56-112+283.47+6.69</f>
        <v>514.72</v>
      </c>
      <c r="F8" s="14">
        <f>6.48</f>
        <v>6.48</v>
      </c>
      <c r="G8" s="14">
        <f>20.9124-0.0004</f>
        <v>20.912000000000003</v>
      </c>
      <c r="H8" s="5">
        <f t="shared" si="0"/>
        <v>0.0030675350583817406</v>
      </c>
      <c r="J8" s="6"/>
    </row>
    <row r="9" spans="1:10" ht="15">
      <c r="A9" s="2">
        <v>3</v>
      </c>
      <c r="B9" s="3" t="s">
        <v>12</v>
      </c>
      <c r="C9" s="4" t="s">
        <v>27</v>
      </c>
      <c r="D9" s="4">
        <f>489</f>
        <v>489</v>
      </c>
      <c r="E9" s="14">
        <f>305.34-101.64+425.72+9.72</f>
        <v>639.1400000000001</v>
      </c>
      <c r="F9" s="17">
        <v>0</v>
      </c>
      <c r="G9" s="14">
        <f>D9-E9-F9+5.7208</f>
        <v>-144.4192000000001</v>
      </c>
      <c r="H9" s="5">
        <f t="shared" si="0"/>
        <v>-0.021184533239453164</v>
      </c>
      <c r="J9" s="6"/>
    </row>
    <row r="10" spans="1:8" ht="15">
      <c r="A10" s="2">
        <v>4</v>
      </c>
      <c r="B10" s="3" t="s">
        <v>9</v>
      </c>
      <c r="C10" s="4"/>
      <c r="D10" s="4">
        <f>D8+D9</f>
        <v>1249.5900000000001</v>
      </c>
      <c r="E10" s="16">
        <f>504.64-213.64+601.86+13.51+194.37+53.12</f>
        <v>1153.86</v>
      </c>
      <c r="F10" s="17">
        <f>F8+F9</f>
        <v>6.48</v>
      </c>
      <c r="G10" s="14">
        <v>0</v>
      </c>
      <c r="H10" s="5">
        <f t="shared" si="0"/>
        <v>0</v>
      </c>
    </row>
    <row r="11" spans="1:8" ht="15">
      <c r="A11" s="23">
        <v>5</v>
      </c>
      <c r="B11" s="13" t="s">
        <v>14</v>
      </c>
      <c r="C11" s="4"/>
      <c r="D11" s="5">
        <f>14981</f>
        <v>14981</v>
      </c>
      <c r="E11" s="14">
        <f>11482</f>
        <v>11482</v>
      </c>
      <c r="F11" s="14">
        <v>0</v>
      </c>
      <c r="G11" s="14">
        <f>D11-E11-F11-0.0002</f>
        <v>3498.9998</v>
      </c>
      <c r="H11" s="5">
        <f t="shared" si="0"/>
        <v>0.51326054685208</v>
      </c>
    </row>
    <row r="12" spans="1:8" ht="15">
      <c r="A12" s="24"/>
      <c r="B12" s="13" t="s">
        <v>15</v>
      </c>
      <c r="C12" s="4"/>
      <c r="D12" s="5">
        <f>5433</f>
        <v>5433</v>
      </c>
      <c r="E12" s="14">
        <f>6516</f>
        <v>6516</v>
      </c>
      <c r="F12" s="14">
        <v>0</v>
      </c>
      <c r="G12" s="14">
        <f>D12-E12-F12-0.0004</f>
        <v>-1083.0004</v>
      </c>
      <c r="H12" s="5">
        <f t="shared" si="0"/>
        <v>-0.15886293492929648</v>
      </c>
    </row>
    <row r="13" spans="1:8" ht="15">
      <c r="A13" s="25"/>
      <c r="B13" s="11" t="s">
        <v>11</v>
      </c>
      <c r="C13" s="11"/>
      <c r="D13" s="12">
        <f>SUM(D11:D12)</f>
        <v>20414</v>
      </c>
      <c r="E13" s="15">
        <f>SUM(E11:E12)</f>
        <v>17998</v>
      </c>
      <c r="F13" s="15">
        <f>SUM(F11:F12)</f>
        <v>0</v>
      </c>
      <c r="G13" s="15">
        <f>SUM(G11:G12)</f>
        <v>2415.9994</v>
      </c>
      <c r="H13" s="5">
        <f t="shared" si="0"/>
        <v>0.3543976119227836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selection activeCell="A3" sqref="A3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7.8515625" style="0" customWidth="1"/>
    <col min="4" max="4" width="15.00390625" style="0" customWidth="1"/>
    <col min="5" max="5" width="16.7109375" style="0" customWidth="1"/>
    <col min="6" max="6" width="15.28125" style="0" customWidth="1"/>
    <col min="7" max="7" width="11.7109375" style="0" customWidth="1"/>
    <col min="8" max="8" width="12.140625" style="0" customWidth="1"/>
    <col min="9" max="9" width="9.57421875" style="0" bestFit="1" customWidth="1"/>
  </cols>
  <sheetData>
    <row r="3" spans="2:3" ht="15.75">
      <c r="B3" s="7" t="s">
        <v>28</v>
      </c>
      <c r="C3" s="7"/>
    </row>
    <row r="4" spans="1:8" ht="15">
      <c r="A4" s="26" t="s">
        <v>7</v>
      </c>
      <c r="B4" s="26"/>
      <c r="C4" s="26"/>
      <c r="D4" s="26"/>
      <c r="E4" s="26"/>
      <c r="F4" s="26"/>
      <c r="G4" s="26"/>
      <c r="H4" s="26"/>
    </row>
    <row r="5" spans="1:8" ht="75" customHeight="1">
      <c r="A5" s="27" t="s">
        <v>0</v>
      </c>
      <c r="B5" s="29" t="s">
        <v>1</v>
      </c>
      <c r="C5" s="27" t="s">
        <v>2</v>
      </c>
      <c r="D5" s="27" t="s">
        <v>10</v>
      </c>
      <c r="E5" s="27" t="s">
        <v>3</v>
      </c>
      <c r="F5" s="27" t="s">
        <v>4</v>
      </c>
      <c r="G5" s="27" t="s">
        <v>5</v>
      </c>
      <c r="H5" s="29" t="s">
        <v>6</v>
      </c>
    </row>
    <row r="6" spans="1:8" ht="15" customHeight="1">
      <c r="A6" s="28"/>
      <c r="B6" s="30"/>
      <c r="C6" s="28"/>
      <c r="D6" s="28"/>
      <c r="E6" s="28"/>
      <c r="F6" s="28"/>
      <c r="G6" s="28"/>
      <c r="H6" s="30"/>
    </row>
    <row r="7" spans="1:10" ht="15">
      <c r="A7" s="8">
        <v>1</v>
      </c>
      <c r="B7" s="9" t="s">
        <v>13</v>
      </c>
      <c r="C7" s="8"/>
      <c r="D7" s="10">
        <f>36.37</f>
        <v>36.37</v>
      </c>
      <c r="E7" s="10">
        <f>13.9541-3.986892+12.3367+0.3619-2.52384-0.0004</f>
        <v>20.141568</v>
      </c>
      <c r="F7" s="10">
        <f>0.3</f>
        <v>0.3</v>
      </c>
      <c r="G7" s="14">
        <f>G8*0.0478+0.0007</f>
        <v>1.0002936000000002</v>
      </c>
      <c r="H7" s="5">
        <f aca="true" t="shared" si="0" ref="H7:H13">G7/6817.2</f>
        <v>0.0001467308572434431</v>
      </c>
      <c r="J7" s="6"/>
    </row>
    <row r="8" spans="1:10" ht="15">
      <c r="A8" s="2">
        <v>2</v>
      </c>
      <c r="B8" s="3" t="s">
        <v>8</v>
      </c>
      <c r="C8" s="5"/>
      <c r="D8" s="5">
        <f>760.81</f>
        <v>760.81</v>
      </c>
      <c r="E8" s="14">
        <f>291.72-83.2+258.09+7.57-52.8</f>
        <v>421.38</v>
      </c>
      <c r="F8" s="14">
        <f>6.7</f>
        <v>6.7</v>
      </c>
      <c r="G8" s="14">
        <f>20.9124-0.0004</f>
        <v>20.912000000000003</v>
      </c>
      <c r="H8" s="5">
        <f t="shared" si="0"/>
        <v>0.0030675350583817406</v>
      </c>
      <c r="J8" s="6"/>
    </row>
    <row r="9" spans="1:10" ht="15">
      <c r="A9" s="2">
        <v>3</v>
      </c>
      <c r="B9" s="3" t="s">
        <v>12</v>
      </c>
      <c r="C9" s="4" t="s">
        <v>29</v>
      </c>
      <c r="D9" s="4">
        <f>11883-11401</f>
        <v>482</v>
      </c>
      <c r="E9" s="14">
        <f>264.81-75.66+370.89+25.42-36.86</f>
        <v>548.5999999999999</v>
      </c>
      <c r="F9" s="17">
        <f>2</f>
        <v>2</v>
      </c>
      <c r="G9" s="14">
        <f>D9-E9-F9+3.7694</f>
        <v>-64.8305999999999</v>
      </c>
      <c r="H9" s="5">
        <f t="shared" si="0"/>
        <v>-0.009509857419468389</v>
      </c>
      <c r="J9" s="6"/>
    </row>
    <row r="10" spans="1:8" ht="15">
      <c r="A10" s="2">
        <v>4</v>
      </c>
      <c r="B10" s="3" t="s">
        <v>9</v>
      </c>
      <c r="C10" s="4"/>
      <c r="D10" s="4">
        <f>D8+D9</f>
        <v>1242.81</v>
      </c>
      <c r="E10" s="16">
        <f>434-123.9+530.49+27.1+177.31-27.2+49.6-7.76-89.66</f>
        <v>969.9799999999999</v>
      </c>
      <c r="F10" s="17">
        <f>F8+F9</f>
        <v>8.7</v>
      </c>
      <c r="G10" s="14">
        <v>0</v>
      </c>
      <c r="H10" s="5">
        <f t="shared" si="0"/>
        <v>0</v>
      </c>
    </row>
    <row r="11" spans="1:8" ht="15">
      <c r="A11" s="23">
        <v>5</v>
      </c>
      <c r="B11" s="13" t="s">
        <v>14</v>
      </c>
      <c r="C11" s="4"/>
      <c r="D11" s="5">
        <f>14313</f>
        <v>14313</v>
      </c>
      <c r="E11" s="14">
        <f>14056-457-389</f>
        <v>13210</v>
      </c>
      <c r="F11" s="14">
        <v>0</v>
      </c>
      <c r="G11" s="14">
        <f>D11-E11-F11+0.0005</f>
        <v>1103.0005</v>
      </c>
      <c r="H11" s="5">
        <f t="shared" si="0"/>
        <v>0.16179670539224317</v>
      </c>
    </row>
    <row r="12" spans="1:8" ht="15">
      <c r="A12" s="24"/>
      <c r="B12" s="13" t="s">
        <v>15</v>
      </c>
      <c r="C12" s="4"/>
      <c r="D12" s="5">
        <f>5425</f>
        <v>5425</v>
      </c>
      <c r="E12" s="14">
        <f>6926</f>
        <v>6926</v>
      </c>
      <c r="F12" s="14">
        <v>0</v>
      </c>
      <c r="G12" s="14">
        <f>D12-E12-F12+55.5993</f>
        <v>-1445.4007</v>
      </c>
      <c r="H12" s="5">
        <f t="shared" si="0"/>
        <v>-0.212022633925952</v>
      </c>
    </row>
    <row r="13" spans="1:8" ht="15">
      <c r="A13" s="25"/>
      <c r="B13" s="11" t="s">
        <v>11</v>
      </c>
      <c r="C13" s="11"/>
      <c r="D13" s="12">
        <f>SUM(D11:D12)</f>
        <v>19738</v>
      </c>
      <c r="E13" s="15">
        <f>SUM(E11:E12)</f>
        <v>20136</v>
      </c>
      <c r="F13" s="15">
        <f>SUM(F11:F12)</f>
        <v>0</v>
      </c>
      <c r="G13" s="15">
        <f>SUM(G11:G12)</f>
        <v>-342.4001999999998</v>
      </c>
      <c r="H13" s="5">
        <f t="shared" si="0"/>
        <v>-0.05022592853370883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selection activeCell="A3" sqref="A3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7.8515625" style="0" customWidth="1"/>
    <col min="4" max="4" width="15.00390625" style="0" customWidth="1"/>
    <col min="5" max="5" width="16.7109375" style="0" customWidth="1"/>
    <col min="6" max="6" width="15.28125" style="0" customWidth="1"/>
    <col min="7" max="7" width="11.7109375" style="0" customWidth="1"/>
    <col min="8" max="8" width="12.140625" style="0" customWidth="1"/>
    <col min="9" max="9" width="9.57421875" style="0" bestFit="1" customWidth="1"/>
  </cols>
  <sheetData>
    <row r="3" spans="2:3" ht="15.75">
      <c r="B3" s="7" t="s">
        <v>30</v>
      </c>
      <c r="C3" s="7"/>
    </row>
    <row r="4" spans="1:8" ht="15">
      <c r="A4" s="26" t="s">
        <v>7</v>
      </c>
      <c r="B4" s="26"/>
      <c r="C4" s="26"/>
      <c r="D4" s="26"/>
      <c r="E4" s="26"/>
      <c r="F4" s="26"/>
      <c r="G4" s="26"/>
      <c r="H4" s="26"/>
    </row>
    <row r="5" spans="1:8" ht="75" customHeight="1">
      <c r="A5" s="27" t="s">
        <v>0</v>
      </c>
      <c r="B5" s="29" t="s">
        <v>1</v>
      </c>
      <c r="C5" s="27" t="s">
        <v>2</v>
      </c>
      <c r="D5" s="27" t="s">
        <v>10</v>
      </c>
      <c r="E5" s="27" t="s">
        <v>3</v>
      </c>
      <c r="F5" s="27" t="s">
        <v>4</v>
      </c>
      <c r="G5" s="27" t="s">
        <v>5</v>
      </c>
      <c r="H5" s="29" t="s">
        <v>6</v>
      </c>
    </row>
    <row r="6" spans="1:8" ht="15" customHeight="1">
      <c r="A6" s="28"/>
      <c r="B6" s="30"/>
      <c r="C6" s="28"/>
      <c r="D6" s="28"/>
      <c r="E6" s="28"/>
      <c r="F6" s="28"/>
      <c r="G6" s="28"/>
      <c r="H6" s="30"/>
    </row>
    <row r="7" spans="1:10" ht="15">
      <c r="A7" s="8">
        <v>1</v>
      </c>
      <c r="B7" s="9" t="s">
        <v>13</v>
      </c>
      <c r="C7" s="8"/>
      <c r="D7" s="10">
        <f>21.42</f>
        <v>21.42</v>
      </c>
      <c r="E7" s="10">
        <f>11.4835-3.28098+10.3456+0.0754-1.85504-0.0003</f>
        <v>16.768179999999997</v>
      </c>
      <c r="F7" s="10">
        <f>0.12</f>
        <v>0.12</v>
      </c>
      <c r="G7" s="14">
        <f>20.9124*0.0341-0.0004</f>
        <v>0.71271284</v>
      </c>
      <c r="H7" s="5">
        <f aca="true" t="shared" si="0" ref="H7:H13">G7/6817.2</f>
        <v>0.00010454627119638562</v>
      </c>
      <c r="J7" s="6"/>
    </row>
    <row r="8" spans="1:10" ht="15">
      <c r="A8" s="2">
        <v>2</v>
      </c>
      <c r="B8" s="3" t="s">
        <v>8</v>
      </c>
      <c r="C8" s="5"/>
      <c r="D8" s="5">
        <f>413.7</f>
        <v>413.7</v>
      </c>
      <c r="E8" s="14">
        <f>336.6-96+303.39+2.21-54.4</f>
        <v>491.80000000000007</v>
      </c>
      <c r="F8" s="14">
        <f>3.63</f>
        <v>3.63</v>
      </c>
      <c r="G8" s="14">
        <f>D8-E8-F8+7.0654</f>
        <v>-74.66460000000008</v>
      </c>
      <c r="H8" s="5">
        <f t="shared" si="0"/>
        <v>-0.01095238514346067</v>
      </c>
      <c r="J8" s="6"/>
    </row>
    <row r="9" spans="1:10" ht="15">
      <c r="A9" s="2">
        <v>3</v>
      </c>
      <c r="B9" s="3" t="s">
        <v>12</v>
      </c>
      <c r="C9" s="4" t="s">
        <v>31</v>
      </c>
      <c r="D9" s="4">
        <f>12580-11883</f>
        <v>697</v>
      </c>
      <c r="E9" s="14">
        <f>332.71-95.06+452.58+71.6-44.62</f>
        <v>717.21</v>
      </c>
      <c r="F9" s="17">
        <f>0</f>
        <v>0</v>
      </c>
      <c r="G9" s="14">
        <f>D9-E9-F9+0.5512</f>
        <v>-19.658800000000035</v>
      </c>
      <c r="H9" s="5">
        <f t="shared" si="0"/>
        <v>-0.002883705920319198</v>
      </c>
      <c r="J9" s="6"/>
    </row>
    <row r="10" spans="1:8" ht="15">
      <c r="A10" s="2">
        <v>4</v>
      </c>
      <c r="B10" s="3" t="s">
        <v>9</v>
      </c>
      <c r="C10" s="4"/>
      <c r="D10" s="4">
        <f>D8+D9</f>
        <v>1110.7</v>
      </c>
      <c r="E10" s="16">
        <f>558-159.3+651.1+4.05-99.02+173.13+63.21-24+49.6-7.76</f>
        <v>1209.01</v>
      </c>
      <c r="F10" s="17">
        <f>F8+F9</f>
        <v>3.63</v>
      </c>
      <c r="G10" s="14">
        <v>0</v>
      </c>
      <c r="H10" s="5">
        <f t="shared" si="0"/>
        <v>0</v>
      </c>
    </row>
    <row r="11" spans="1:8" ht="15">
      <c r="A11" s="23">
        <v>5</v>
      </c>
      <c r="B11" s="13" t="s">
        <v>14</v>
      </c>
      <c r="C11" s="4"/>
      <c r="D11" s="5">
        <f>14986</f>
        <v>14986</v>
      </c>
      <c r="E11" s="14">
        <f>14947-2962-517</f>
        <v>11468</v>
      </c>
      <c r="F11" s="14">
        <v>0</v>
      </c>
      <c r="G11" s="14">
        <f>D11-E11-F11-0.0006</f>
        <v>3517.9994</v>
      </c>
      <c r="H11" s="5">
        <f t="shared" si="0"/>
        <v>0.5160475561814235</v>
      </c>
    </row>
    <row r="12" spans="1:8" ht="15">
      <c r="A12" s="24"/>
      <c r="B12" s="13" t="s">
        <v>15</v>
      </c>
      <c r="C12" s="4"/>
      <c r="D12" s="5">
        <f>5853</f>
        <v>5853</v>
      </c>
      <c r="E12" s="14">
        <f>6165</f>
        <v>6165</v>
      </c>
      <c r="F12" s="14">
        <v>0</v>
      </c>
      <c r="G12" s="14">
        <f>D12-E12-F12+0.0006</f>
        <v>-311.9994</v>
      </c>
      <c r="H12" s="5">
        <f t="shared" si="0"/>
        <v>-0.045766502376342194</v>
      </c>
    </row>
    <row r="13" spans="1:8" ht="15">
      <c r="A13" s="25"/>
      <c r="B13" s="11" t="s">
        <v>11</v>
      </c>
      <c r="C13" s="11"/>
      <c r="D13" s="12">
        <f>SUM(D11:D12)</f>
        <v>20839</v>
      </c>
      <c r="E13" s="15">
        <f>SUM(E11:E12)</f>
        <v>17633</v>
      </c>
      <c r="F13" s="15">
        <f>SUM(F11:F12)</f>
        <v>0</v>
      </c>
      <c r="G13" s="15">
        <f>SUM(G11:G12)</f>
        <v>3206</v>
      </c>
      <c r="H13" s="5">
        <f t="shared" si="0"/>
        <v>0.4702810538050813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selection activeCell="B5" sqref="B5:B6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7.8515625" style="0" customWidth="1"/>
    <col min="4" max="4" width="15.00390625" style="0" customWidth="1"/>
    <col min="5" max="5" width="16.7109375" style="0" customWidth="1"/>
    <col min="6" max="6" width="15.28125" style="0" customWidth="1"/>
    <col min="7" max="7" width="11.7109375" style="0" customWidth="1"/>
    <col min="8" max="8" width="12.140625" style="0" customWidth="1"/>
    <col min="9" max="9" width="9.57421875" style="0" bestFit="1" customWidth="1"/>
  </cols>
  <sheetData>
    <row r="3" spans="2:3" ht="15.75">
      <c r="B3" s="7" t="s">
        <v>32</v>
      </c>
      <c r="C3" s="7"/>
    </row>
    <row r="4" spans="1:8" ht="15">
      <c r="A4" s="26" t="s">
        <v>7</v>
      </c>
      <c r="B4" s="26"/>
      <c r="C4" s="26"/>
      <c r="D4" s="26"/>
      <c r="E4" s="26"/>
      <c r="F4" s="26"/>
      <c r="G4" s="26"/>
      <c r="H4" s="26"/>
    </row>
    <row r="5" spans="1:8" ht="75" customHeight="1">
      <c r="A5" s="27" t="s">
        <v>0</v>
      </c>
      <c r="B5" s="29" t="s">
        <v>1</v>
      </c>
      <c r="C5" s="27" t="s">
        <v>2</v>
      </c>
      <c r="D5" s="27" t="s">
        <v>10</v>
      </c>
      <c r="E5" s="27" t="s">
        <v>3</v>
      </c>
      <c r="F5" s="27" t="s">
        <v>4</v>
      </c>
      <c r="G5" s="27" t="s">
        <v>5</v>
      </c>
      <c r="H5" s="29" t="s">
        <v>6</v>
      </c>
    </row>
    <row r="6" spans="1:8" ht="15" customHeight="1">
      <c r="A6" s="28"/>
      <c r="B6" s="30"/>
      <c r="C6" s="28"/>
      <c r="D6" s="28"/>
      <c r="E6" s="28"/>
      <c r="F6" s="28"/>
      <c r="G6" s="28"/>
      <c r="H6" s="30"/>
    </row>
    <row r="7" spans="1:10" ht="15">
      <c r="A7" s="8">
        <v>1</v>
      </c>
      <c r="B7" s="9" t="s">
        <v>13</v>
      </c>
      <c r="C7" s="8"/>
      <c r="D7" s="10">
        <f>32.3</f>
        <v>32.3</v>
      </c>
      <c r="E7" s="10">
        <f>14.6775-4.193602+13.097+0.4325-0.0005</f>
        <v>24.012898</v>
      </c>
      <c r="F7" s="10">
        <f>0.24</f>
        <v>0.24</v>
      </c>
      <c r="G7" s="14">
        <f>20.9124*0.0467</f>
        <v>0.97660908</v>
      </c>
      <c r="H7" s="5">
        <f aca="true" t="shared" si="0" ref="H7:H13">G7/6817.2</f>
        <v>0.00014325662735433902</v>
      </c>
      <c r="J7" s="6"/>
    </row>
    <row r="8" spans="1:10" ht="15">
      <c r="A8" s="2">
        <v>2</v>
      </c>
      <c r="B8" s="3" t="s">
        <v>8</v>
      </c>
      <c r="C8" s="5"/>
      <c r="D8" s="5">
        <f>584.3</f>
        <v>584.3</v>
      </c>
      <c r="E8" s="14">
        <f>314.16-89.6+280.45+9.26</f>
        <v>514.27</v>
      </c>
      <c r="F8" s="14">
        <f>5.12</f>
        <v>5.12</v>
      </c>
      <c r="G8" s="14">
        <f>20.9124-0.0004</f>
        <v>20.912000000000003</v>
      </c>
      <c r="H8" s="5">
        <f t="shared" si="0"/>
        <v>0.0030675350583817406</v>
      </c>
      <c r="J8" s="6"/>
    </row>
    <row r="9" spans="1:10" ht="15">
      <c r="A9" s="2">
        <v>3</v>
      </c>
      <c r="B9" s="3" t="s">
        <v>12</v>
      </c>
      <c r="C9" s="4" t="s">
        <v>33</v>
      </c>
      <c r="D9" s="4">
        <f>13194-12580</f>
        <v>614</v>
      </c>
      <c r="E9" s="14">
        <f>332.71-95.06+395.15+9.73</f>
        <v>642.53</v>
      </c>
      <c r="F9" s="17">
        <f>0</f>
        <v>0</v>
      </c>
      <c r="G9" s="14">
        <f>D9-E9-F9+2.0641</f>
        <v>-26.465899999999973</v>
      </c>
      <c r="H9" s="5">
        <f t="shared" si="0"/>
        <v>-0.003882224373643134</v>
      </c>
      <c r="J9" s="6"/>
    </row>
    <row r="10" spans="1:8" ht="15">
      <c r="A10" s="2">
        <v>4</v>
      </c>
      <c r="B10" s="3" t="s">
        <v>9</v>
      </c>
      <c r="C10" s="4"/>
      <c r="D10" s="4">
        <f>D8+D9</f>
        <v>1198.3</v>
      </c>
      <c r="E10" s="16">
        <f>558-159.3+595.57+15.37+122.92-17.6+49.6-7.76</f>
        <v>1156.8</v>
      </c>
      <c r="F10" s="17">
        <f>F8+F9</f>
        <v>5.12</v>
      </c>
      <c r="G10" s="14">
        <v>0</v>
      </c>
      <c r="H10" s="5">
        <f t="shared" si="0"/>
        <v>0</v>
      </c>
    </row>
    <row r="11" spans="1:8" ht="15">
      <c r="A11" s="23">
        <v>5</v>
      </c>
      <c r="B11" s="13" t="s">
        <v>14</v>
      </c>
      <c r="C11" s="4"/>
      <c r="D11" s="5">
        <f>18745</f>
        <v>18745</v>
      </c>
      <c r="E11" s="14">
        <f>15300-608-453</f>
        <v>14239</v>
      </c>
      <c r="F11" s="14">
        <v>0</v>
      </c>
      <c r="G11" s="14">
        <f>D11-E11-F11-0.0011</f>
        <v>4505.9989</v>
      </c>
      <c r="H11" s="5">
        <f t="shared" si="0"/>
        <v>0.6609750190694126</v>
      </c>
    </row>
    <row r="12" spans="1:8" ht="15">
      <c r="A12" s="24"/>
      <c r="B12" s="13" t="s">
        <v>15</v>
      </c>
      <c r="C12" s="4"/>
      <c r="D12" s="5">
        <f>6503</f>
        <v>6503</v>
      </c>
      <c r="E12" s="14">
        <f>6089</f>
        <v>6089</v>
      </c>
      <c r="F12" s="14">
        <v>0</v>
      </c>
      <c r="G12" s="14">
        <f>D12-E12-F12-0.0006</f>
        <v>413.9994</v>
      </c>
      <c r="H12" s="5">
        <f t="shared" si="0"/>
        <v>0.06072865692659743</v>
      </c>
    </row>
    <row r="13" spans="1:8" ht="15">
      <c r="A13" s="25"/>
      <c r="B13" s="11" t="s">
        <v>11</v>
      </c>
      <c r="C13" s="11"/>
      <c r="D13" s="12">
        <f>SUM(D11:D12)</f>
        <v>25248</v>
      </c>
      <c r="E13" s="15">
        <f>SUM(E11:E12)</f>
        <v>20328</v>
      </c>
      <c r="F13" s="15">
        <f>SUM(F11:F12)</f>
        <v>0</v>
      </c>
      <c r="G13" s="15">
        <f>SUM(G11:G12)</f>
        <v>4919.998299999999</v>
      </c>
      <c r="H13" s="5">
        <f t="shared" si="0"/>
        <v>0.72170367599601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2013-02-28T06:06:38Z</cp:lastPrinted>
  <dcterms:created xsi:type="dcterms:W3CDTF">2006-09-16T00:00:00Z</dcterms:created>
  <dcterms:modified xsi:type="dcterms:W3CDTF">2017-01-31T11:43:50Z</dcterms:modified>
  <cp:category/>
  <cp:version/>
  <cp:contentType/>
  <cp:contentStatus/>
</cp:coreProperties>
</file>