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1.3 (январь) " sheetId="1" r:id="rId1"/>
    <sheet name="61.3 (февраль)  " sheetId="2" r:id="rId2"/>
    <sheet name="61.3 (март)" sheetId="3" r:id="rId3"/>
    <sheet name="61.3 (апрель)" sheetId="4" r:id="rId4"/>
    <sheet name="61.3 (май)" sheetId="5" r:id="rId5"/>
    <sheet name="61.3 (июнь)" sheetId="6" r:id="rId6"/>
    <sheet name="61.3 (июль)" sheetId="7" r:id="rId7"/>
    <sheet name="61.3 (август)" sheetId="8" r:id="rId8"/>
    <sheet name="61.3 (сентябрь)" sheetId="9" r:id="rId9"/>
    <sheet name="61.3 (октябрь)" sheetId="10" r:id="rId10"/>
    <sheet name="61.3 (ноябрь)" sheetId="11" r:id="rId11"/>
    <sheet name="61.3 (декабрь)" sheetId="12" r:id="rId12"/>
    <sheet name="Лист2" sheetId="13" r:id="rId13"/>
    <sheet name="Лист3" sheetId="14" r:id="rId14"/>
  </sheets>
  <definedNames/>
  <calcPr fullCalcOnLoad="1"/>
</workbook>
</file>

<file path=xl/sharedStrings.xml><?xml version="1.0" encoding="utf-8"?>
<sst xmlns="http://schemas.openxmlformats.org/spreadsheetml/2006/main" count="321" uniqueCount="49">
  <si>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</si>
  <si>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</si>
  <si>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</si>
  <si>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</si>
  <si>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</si>
  <si>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</si>
  <si>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</si>
  <si>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</si>
  <si>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61-3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</si>
  <si>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</si>
  <si>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</si>
  <si>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</si>
  <si>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</si>
  <si>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</si>
  <si>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</si>
  <si>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сч.689181</t>
  </si>
  <si>
    <t>эл.эн.ночь № сч.689181</t>
  </si>
  <si>
    <t>эл.эн.день № сч.685192</t>
  </si>
  <si>
    <t>эл.эн.ночь № сч.685192</t>
  </si>
  <si>
    <t>эл.эн.день № сч.685506</t>
  </si>
  <si>
    <t>эл.эн.ночь № сч.685506</t>
  </si>
  <si>
    <t>ХВС (тонн)</t>
  </si>
  <si>
    <t>день эл.эн.</t>
  </si>
  <si>
    <t>ночь эл.эн.</t>
  </si>
  <si>
    <t>Объем коммунальных услуг по показаниям общедомовых приборов учета (ОДН) за январь в феврале 2013г.</t>
  </si>
  <si>
    <t>52178,23/52471,46</t>
  </si>
  <si>
    <t>Объем коммунальных услуг по показаниям общедомовых приборов учета (ОДН) за февраль в марте 2013г.</t>
  </si>
  <si>
    <t>53057,37./53426,40</t>
  </si>
  <si>
    <t>Объем коммунальных услуг по показаниям общедомовых приборов учета (ОДН) за март в апреле 2013г.</t>
  </si>
  <si>
    <t>53426,40/53754,17</t>
  </si>
  <si>
    <t>Объем коммунальных услуг по показаниям общедомовых приборов учета (ОДН) за апрель в мае 2013г.</t>
  </si>
  <si>
    <t>нагрев воды (Г.кал.)</t>
  </si>
  <si>
    <t>53754,17./54098,593</t>
  </si>
  <si>
    <t>Объем коммунальных услуг по показаниям общедомовых приборов учета (ОДН) за май в июне 2013г.</t>
  </si>
  <si>
    <t>53948,72,/54268,42</t>
  </si>
  <si>
    <t>Объем коммунальных услуг по показаниям общедомовых приборов учета (ОДН) за июнь в июле 2013г.</t>
  </si>
  <si>
    <t>54268,42,/54597,58</t>
  </si>
  <si>
    <t>Объем коммунальных услуг по показаниям общедомовых приборов учета (ОДН) за июль в августе 2013г.</t>
  </si>
  <si>
    <t>55499,14,55817,63</t>
  </si>
  <si>
    <t>Объем коммунальных услуг по показаниям общедомовых приборов учета (ОДН) за август в сентябре 2013г.</t>
  </si>
  <si>
    <t>56447,18,/56785,82</t>
  </si>
  <si>
    <t>Объем коммунальных услуг по показаниям общедомовых приборов учета (ОДН) за сентябрь в октябре 2013г.</t>
  </si>
  <si>
    <t>56785,82/57132,07</t>
  </si>
  <si>
    <t>Объем коммунальных услуг по показаниям общедомовых приборов учета (ОДН) за октябрь в ноябре 2013г.</t>
  </si>
  <si>
    <t>56042,53/56377,81</t>
  </si>
  <si>
    <t>Объем коммунальных услуг по показаниям общедомовых приборов учета (ОДН) за ноябрь в декабре 2013г.</t>
  </si>
  <si>
    <t>56377,80,/56763,58</t>
  </si>
  <si>
    <t>55990,431,/56390,272</t>
  </si>
  <si>
    <t>Объем коммунальных услуг по показаниям общедомовых приборов учета (ОДН) за декабрь в январе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</si>
</sst>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0.0"/>
    <numFmt numFmtId="167" formatCode="0.000"/>
    <numFmt numFmtId="168" formatCode="0.0000"/>
    <numFmt numFmtId="169" formatCode="#,##0.0000"/>
    <numFmt numFmtId="170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7" sqref="A7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24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">
        <v>1</v>
      </c>
      <c r="B7" s="3" t="s">
        <v>9</v>
      </c>
      <c r="C7" s="6"/>
      <c r="D7" s="8"/>
      <c r="E7" s="8"/>
      <c r="F7" s="6">
        <f>296.29+5.95</f>
        <v>302.24</v>
      </c>
      <c r="G7" s="5">
        <f>200.5+7.05</f>
        <v>207.55</v>
      </c>
      <c r="H7" s="5">
        <f>5.95</f>
        <v>5.95</v>
      </c>
      <c r="I7" s="7">
        <f aca="true" t="shared" si="0" ref="I7:I15">F7-G7-H7</f>
        <v>88.74</v>
      </c>
      <c r="J7" s="6">
        <f aca="true" t="shared" si="1" ref="J7:J18">I7/3538.4</f>
        <v>0.025079131810988014</v>
      </c>
      <c r="L7" s="18"/>
    </row>
    <row r="8" spans="1:10" ht="15">
      <c r="A8" s="2">
        <v>2</v>
      </c>
      <c r="B8" s="3" t="s">
        <v>21</v>
      </c>
      <c r="C8" s="7" t="s">
        <v>25</v>
      </c>
      <c r="D8" s="8"/>
      <c r="E8" s="8"/>
      <c r="F8" s="5">
        <v>293.23</v>
      </c>
      <c r="G8" s="5">
        <f>242.5+77.12</f>
        <v>319.62</v>
      </c>
      <c r="H8" s="5">
        <v>0</v>
      </c>
      <c r="I8" s="7">
        <f t="shared" si="0"/>
        <v>-26.389999999999986</v>
      </c>
      <c r="J8" s="6">
        <f t="shared" si="1"/>
        <v>-0.0074581731856206155</v>
      </c>
    </row>
    <row r="9" spans="1:10" ht="15">
      <c r="A9" s="2">
        <v>3</v>
      </c>
      <c r="B9" s="3" t="s">
        <v>10</v>
      </c>
      <c r="C9" s="7"/>
      <c r="D9" s="8"/>
      <c r="E9" s="8"/>
      <c r="F9" s="5">
        <f>F7+F8</f>
        <v>595.47</v>
      </c>
      <c r="G9" s="5">
        <f>443+84.17</f>
        <v>527.17</v>
      </c>
      <c r="H9" s="5">
        <f>H7+H8</f>
        <v>5.95</v>
      </c>
      <c r="I9" s="7">
        <f t="shared" si="0"/>
        <v>62.350000000000065</v>
      </c>
      <c r="J9" s="6">
        <f t="shared" si="1"/>
        <v>0.017620958625367417</v>
      </c>
    </row>
    <row r="10" spans="1:10" ht="15">
      <c r="A10" s="36">
        <v>4</v>
      </c>
      <c r="B10" s="3" t="s">
        <v>15</v>
      </c>
      <c r="C10" s="7"/>
      <c r="D10" s="11">
        <v>43181</v>
      </c>
      <c r="E10" s="11">
        <v>43695</v>
      </c>
      <c r="F10" s="6">
        <f>(E10-D10)*1</f>
        <v>514</v>
      </c>
      <c r="G10" s="7">
        <v>0</v>
      </c>
      <c r="H10" s="7">
        <v>0</v>
      </c>
      <c r="I10" s="7">
        <f t="shared" si="0"/>
        <v>514</v>
      </c>
      <c r="J10" s="6">
        <f t="shared" si="1"/>
        <v>0.14526339588514584</v>
      </c>
    </row>
    <row r="11" spans="1:10" ht="15">
      <c r="A11" s="37"/>
      <c r="B11" s="3" t="s">
        <v>16</v>
      </c>
      <c r="C11" s="7"/>
      <c r="D11" s="11">
        <v>22698</v>
      </c>
      <c r="E11" s="11">
        <v>23013</v>
      </c>
      <c r="F11" s="6">
        <f>(E11-D11)*1</f>
        <v>315</v>
      </c>
      <c r="G11" s="7">
        <v>0</v>
      </c>
      <c r="H11" s="7">
        <v>0</v>
      </c>
      <c r="I11" s="7">
        <f t="shared" si="0"/>
        <v>315</v>
      </c>
      <c r="J11" s="6">
        <f t="shared" si="1"/>
        <v>0.08902328736151933</v>
      </c>
    </row>
    <row r="12" spans="1:10" ht="15">
      <c r="A12" s="37"/>
      <c r="B12" s="3" t="s">
        <v>17</v>
      </c>
      <c r="C12" s="7"/>
      <c r="D12" s="11">
        <v>3337</v>
      </c>
      <c r="E12" s="11">
        <v>3361</v>
      </c>
      <c r="F12" s="6">
        <f>(E12-D12)*10</f>
        <v>240</v>
      </c>
      <c r="G12" s="7">
        <v>0</v>
      </c>
      <c r="H12" s="7">
        <v>0</v>
      </c>
      <c r="I12" s="7">
        <f t="shared" si="0"/>
        <v>240</v>
      </c>
      <c r="J12" s="6">
        <f t="shared" si="1"/>
        <v>0.06782726656115759</v>
      </c>
    </row>
    <row r="13" spans="1:10" ht="15">
      <c r="A13" s="37"/>
      <c r="B13" s="3" t="s">
        <v>18</v>
      </c>
      <c r="C13" s="7"/>
      <c r="D13" s="11">
        <v>3218</v>
      </c>
      <c r="E13" s="11">
        <v>3243</v>
      </c>
      <c r="F13" s="6">
        <f>(E13-D13)*10</f>
        <v>250</v>
      </c>
      <c r="G13" s="7">
        <v>0</v>
      </c>
      <c r="H13" s="7">
        <v>0</v>
      </c>
      <c r="I13" s="7">
        <f t="shared" si="0"/>
        <v>250</v>
      </c>
      <c r="J13" s="6">
        <f t="shared" si="1"/>
        <v>0.07065340266787248</v>
      </c>
    </row>
    <row r="14" spans="1:10" ht="15">
      <c r="A14" s="37"/>
      <c r="B14" s="3" t="s">
        <v>19</v>
      </c>
      <c r="C14" s="7"/>
      <c r="D14" s="11">
        <v>105250</v>
      </c>
      <c r="E14" s="11">
        <v>106510</v>
      </c>
      <c r="F14" s="6">
        <f>(E14-D14)*1</f>
        <v>1260</v>
      </c>
      <c r="G14" s="7">
        <v>0</v>
      </c>
      <c r="H14" s="7">
        <v>0</v>
      </c>
      <c r="I14" s="7">
        <f t="shared" si="0"/>
        <v>1260</v>
      </c>
      <c r="J14" s="6">
        <f t="shared" si="1"/>
        <v>0.35609314944607734</v>
      </c>
    </row>
    <row r="15" spans="1:10" ht="15">
      <c r="A15" s="37"/>
      <c r="B15" s="3" t="s">
        <v>20</v>
      </c>
      <c r="C15" s="7"/>
      <c r="D15" s="11">
        <v>96090</v>
      </c>
      <c r="E15" s="11">
        <v>97528</v>
      </c>
      <c r="F15" s="6">
        <f>(E15-D15)*1</f>
        <v>1438</v>
      </c>
      <c r="G15" s="7">
        <v>0</v>
      </c>
      <c r="H15" s="7">
        <v>0</v>
      </c>
      <c r="I15" s="7">
        <f t="shared" si="0"/>
        <v>1438</v>
      </c>
      <c r="J15" s="6">
        <f t="shared" si="1"/>
        <v>0.40639837214560254</v>
      </c>
    </row>
    <row r="16" spans="1:10" ht="15">
      <c r="A16" s="12"/>
      <c r="B16" s="12" t="s">
        <v>14</v>
      </c>
      <c r="C16" s="12"/>
      <c r="D16" s="13"/>
      <c r="E16" s="12"/>
      <c r="F16" s="14">
        <f>SUM(F10:F15)</f>
        <v>4017</v>
      </c>
      <c r="G16" s="14">
        <f>SUM(G10:G15)</f>
        <v>0</v>
      </c>
      <c r="H16" s="17">
        <v>0</v>
      </c>
      <c r="I16" s="14">
        <f>SUM(I10:I15)</f>
        <v>4017</v>
      </c>
      <c r="J16" s="6">
        <f t="shared" si="1"/>
        <v>1.135258874067375</v>
      </c>
    </row>
    <row r="17" spans="1:12" ht="15">
      <c r="A17" s="1"/>
      <c r="B17" s="1"/>
      <c r="C17" s="1"/>
      <c r="D17" s="1"/>
      <c r="E17" s="1" t="s">
        <v>22</v>
      </c>
      <c r="F17" s="16">
        <f aca="true" t="shared" si="2" ref="F17:I18">F10+F12+F14</f>
        <v>2014</v>
      </c>
      <c r="G17" s="16">
        <f t="shared" si="2"/>
        <v>0</v>
      </c>
      <c r="H17" s="16">
        <f t="shared" si="2"/>
        <v>0</v>
      </c>
      <c r="I17" s="16">
        <f t="shared" si="2"/>
        <v>2014</v>
      </c>
      <c r="J17" s="6">
        <f t="shared" si="1"/>
        <v>0.5691838118923808</v>
      </c>
      <c r="K17" s="19"/>
      <c r="L17" s="18"/>
    </row>
    <row r="18" spans="1:12" ht="15">
      <c r="A18" s="1"/>
      <c r="B18" s="1"/>
      <c r="C18" s="1"/>
      <c r="D18" s="1"/>
      <c r="E18" s="1" t="s">
        <v>23</v>
      </c>
      <c r="F18" s="15">
        <f t="shared" si="2"/>
        <v>2003</v>
      </c>
      <c r="G18" s="15">
        <f t="shared" si="2"/>
        <v>0</v>
      </c>
      <c r="H18" s="15">
        <f t="shared" si="2"/>
        <v>0</v>
      </c>
      <c r="I18" s="15">
        <f t="shared" si="2"/>
        <v>2003</v>
      </c>
      <c r="J18" s="6">
        <f t="shared" si="1"/>
        <v>0.5660750621749944</v>
      </c>
      <c r="K18" s="19"/>
      <c r="L18" s="18"/>
    </row>
  </sheetData>
  <sheetProtection/>
  <mergeCells count="11">
    <mergeCell ref="A10:A15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43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4">
        <f>0.44+15.91+0.61</f>
        <v>16.96</v>
      </c>
      <c r="G7" s="24">
        <f>G8*0.0478</f>
        <v>12.55236126</v>
      </c>
      <c r="H7" s="20">
        <f>0.61</f>
        <v>0.61</v>
      </c>
      <c r="I7" s="24">
        <f>I8*0.0478</f>
        <v>0.5067756</v>
      </c>
      <c r="J7" s="6">
        <f aca="true" t="shared" si="0" ref="J7:J19">I7/3538.4</f>
        <v>0.0001432216821162107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7.87+332.83+9.67</f>
        <v>350.37</v>
      </c>
      <c r="G8" s="5">
        <f>203.8417+58.76</f>
        <v>262.6017</v>
      </c>
      <c r="H8" s="5">
        <f>9.67</f>
        <v>9.67</v>
      </c>
      <c r="I8" s="7">
        <v>10.602</v>
      </c>
      <c r="J8" s="6">
        <f t="shared" si="0"/>
        <v>0.002996269500339136</v>
      </c>
    </row>
    <row r="9" spans="1:10" ht="15">
      <c r="A9" s="2">
        <v>3</v>
      </c>
      <c r="B9" s="3" t="s">
        <v>21</v>
      </c>
      <c r="C9" s="7" t="s">
        <v>44</v>
      </c>
      <c r="D9" s="8"/>
      <c r="E9" s="8"/>
      <c r="F9" s="5">
        <v>335.272</v>
      </c>
      <c r="G9" s="5">
        <f>236.8417+94.12</f>
        <v>330.9617</v>
      </c>
      <c r="H9" s="5">
        <v>0</v>
      </c>
      <c r="I9" s="7">
        <f>F9-G9-H9</f>
        <v>4.310299999999984</v>
      </c>
      <c r="J9" s="6">
        <f t="shared" si="0"/>
        <v>0.0012181494460773185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685.642</v>
      </c>
      <c r="G10" s="5">
        <f>432.6633+150.58+10.32</f>
        <v>593.5633</v>
      </c>
      <c r="H10" s="5">
        <f>H8+H9</f>
        <v>9.67</v>
      </c>
      <c r="I10" s="7">
        <v>0</v>
      </c>
      <c r="J10" s="6">
        <f t="shared" si="0"/>
        <v>0</v>
      </c>
    </row>
    <row r="11" spans="1:10" ht="15">
      <c r="A11" s="36">
        <v>5</v>
      </c>
      <c r="B11" s="3" t="s">
        <v>15</v>
      </c>
      <c r="C11" s="7"/>
      <c r="D11" s="11">
        <v>46430</v>
      </c>
      <c r="E11" s="11">
        <v>46780</v>
      </c>
      <c r="F11" s="6">
        <f>(E11-D11)*1</f>
        <v>350</v>
      </c>
      <c r="G11" s="7">
        <v>0</v>
      </c>
      <c r="H11" s="7">
        <v>0</v>
      </c>
      <c r="I11" s="7">
        <f aca="true" t="shared" si="1" ref="I11:I16">F11-G11-H11</f>
        <v>350</v>
      </c>
      <c r="J11" s="6">
        <f t="shared" si="0"/>
        <v>0.09891476373502148</v>
      </c>
    </row>
    <row r="12" spans="1:10" ht="15">
      <c r="A12" s="37"/>
      <c r="B12" s="3" t="s">
        <v>16</v>
      </c>
      <c r="C12" s="7"/>
      <c r="D12" s="11">
        <v>24510</v>
      </c>
      <c r="E12" s="11">
        <v>24720</v>
      </c>
      <c r="F12" s="6">
        <f>(E12-D12)*1</f>
        <v>210</v>
      </c>
      <c r="G12" s="7">
        <v>0</v>
      </c>
      <c r="H12" s="7">
        <v>0</v>
      </c>
      <c r="I12" s="7">
        <f t="shared" si="1"/>
        <v>210</v>
      </c>
      <c r="J12" s="6">
        <f t="shared" si="0"/>
        <v>0.05934885824101289</v>
      </c>
    </row>
    <row r="13" spans="1:10" ht="15">
      <c r="A13" s="37"/>
      <c r="B13" s="3" t="s">
        <v>17</v>
      </c>
      <c r="C13" s="7"/>
      <c r="D13" s="11">
        <v>3460</v>
      </c>
      <c r="E13" s="11">
        <v>3475</v>
      </c>
      <c r="F13" s="6">
        <f>(E13-D13)*10</f>
        <v>150</v>
      </c>
      <c r="G13" s="7">
        <v>0</v>
      </c>
      <c r="H13" s="7">
        <v>0</v>
      </c>
      <c r="I13" s="7">
        <f t="shared" si="1"/>
        <v>150</v>
      </c>
      <c r="J13" s="6">
        <f t="shared" si="0"/>
        <v>0.04239204160072349</v>
      </c>
    </row>
    <row r="14" spans="1:10" ht="15">
      <c r="A14" s="37"/>
      <c r="B14" s="3" t="s">
        <v>18</v>
      </c>
      <c r="C14" s="7"/>
      <c r="D14" s="11">
        <v>3344</v>
      </c>
      <c r="E14" s="11">
        <v>3361</v>
      </c>
      <c r="F14" s="6">
        <f>(E14-D14)*10</f>
        <v>170</v>
      </c>
      <c r="G14" s="7">
        <v>0</v>
      </c>
      <c r="H14" s="7">
        <v>0</v>
      </c>
      <c r="I14" s="7">
        <f t="shared" si="1"/>
        <v>170</v>
      </c>
      <c r="J14" s="6">
        <f t="shared" si="0"/>
        <v>0.04804431381415329</v>
      </c>
    </row>
    <row r="15" spans="1:10" ht="15">
      <c r="A15" s="37"/>
      <c r="B15" s="3" t="s">
        <v>19</v>
      </c>
      <c r="C15" s="7"/>
      <c r="D15" s="11">
        <v>111500</v>
      </c>
      <c r="E15" s="11">
        <v>112170</v>
      </c>
      <c r="F15" s="6">
        <f>(E15-D15)*1</f>
        <v>670</v>
      </c>
      <c r="G15" s="7">
        <v>0</v>
      </c>
      <c r="H15" s="7">
        <v>0</v>
      </c>
      <c r="I15" s="7">
        <f t="shared" si="1"/>
        <v>670</v>
      </c>
      <c r="J15" s="6">
        <f t="shared" si="0"/>
        <v>0.18935111914989824</v>
      </c>
    </row>
    <row r="16" spans="1:10" ht="15">
      <c r="A16" s="37"/>
      <c r="B16" s="3" t="s">
        <v>20</v>
      </c>
      <c r="C16" s="7"/>
      <c r="D16" s="11">
        <v>103240</v>
      </c>
      <c r="E16" s="11">
        <v>104240</v>
      </c>
      <c r="F16" s="6">
        <f>(E16-D16)*1</f>
        <v>1000</v>
      </c>
      <c r="G16" s="7">
        <v>0</v>
      </c>
      <c r="H16" s="7">
        <v>0</v>
      </c>
      <c r="I16" s="7">
        <f t="shared" si="1"/>
        <v>1000</v>
      </c>
      <c r="J16" s="6">
        <f t="shared" si="0"/>
        <v>0.28261361067148993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2550</v>
      </c>
      <c r="G17" s="14">
        <f>SUM(G11:G16)</f>
        <v>0</v>
      </c>
      <c r="H17" s="17">
        <v>0</v>
      </c>
      <c r="I17" s="14">
        <f>SUM(I11:I16)</f>
        <v>2550</v>
      </c>
      <c r="J17" s="6">
        <f t="shared" si="0"/>
        <v>0.7206647072122994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1170</v>
      </c>
      <c r="G18" s="16">
        <f t="shared" si="2"/>
        <v>0</v>
      </c>
      <c r="H18" s="16">
        <f t="shared" si="2"/>
        <v>0</v>
      </c>
      <c r="I18" s="16">
        <f t="shared" si="2"/>
        <v>1170</v>
      </c>
      <c r="J18" s="6">
        <f t="shared" si="0"/>
        <v>0.33065792448564324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1380</v>
      </c>
      <c r="G19" s="15">
        <f t="shared" si="2"/>
        <v>0</v>
      </c>
      <c r="H19" s="15">
        <f t="shared" si="2"/>
        <v>0</v>
      </c>
      <c r="I19" s="15">
        <f t="shared" si="2"/>
        <v>1380</v>
      </c>
      <c r="J19" s="6">
        <f t="shared" si="0"/>
        <v>0.3900067827266561</v>
      </c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45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4">
        <f>22.29+0.58</f>
        <v>22.869999999999997</v>
      </c>
      <c r="G7" s="24">
        <f>G8*0.0478</f>
        <v>10.882458699999999</v>
      </c>
      <c r="H7" s="20">
        <f>0.58</f>
        <v>0.58</v>
      </c>
      <c r="I7" s="7">
        <f>10.602*0.0478</f>
        <v>0.5067756</v>
      </c>
      <c r="J7" s="6">
        <f aca="true" t="shared" si="0" ref="J7:J19">I7/3538.4</f>
        <v>0.0001432216821162107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232.82+5.38</f>
        <v>238.2</v>
      </c>
      <c r="G8" s="5">
        <f>32.47+195.1965</f>
        <v>227.66649999999998</v>
      </c>
      <c r="H8" s="5">
        <f>5.38</f>
        <v>5.38</v>
      </c>
      <c r="I8" s="7">
        <f>F8-G8-H8</f>
        <v>5.153500000000004</v>
      </c>
      <c r="J8" s="6">
        <f t="shared" si="0"/>
        <v>0.0014564492425955245</v>
      </c>
    </row>
    <row r="9" spans="1:10" ht="15">
      <c r="A9" s="2">
        <v>3</v>
      </c>
      <c r="B9" s="3" t="s">
        <v>21</v>
      </c>
      <c r="C9" s="7" t="s">
        <v>46</v>
      </c>
      <c r="D9" s="8"/>
      <c r="E9" s="8"/>
      <c r="F9" s="5">
        <f>385.782</f>
        <v>385.782</v>
      </c>
      <c r="G9" s="5">
        <f>232.9565+85.81+3.6</f>
        <v>322.36650000000003</v>
      </c>
      <c r="H9" s="5">
        <v>0</v>
      </c>
      <c r="I9" s="7">
        <v>10.602</v>
      </c>
      <c r="J9" s="6">
        <f t="shared" si="0"/>
        <v>0.002996269500339136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623.982</v>
      </c>
      <c r="G10" s="5">
        <f>425.5658+118.64+5.8271</f>
        <v>550.0329</v>
      </c>
      <c r="H10" s="5">
        <f>H8+H9</f>
        <v>5.38</v>
      </c>
      <c r="I10" s="7">
        <v>0</v>
      </c>
      <c r="J10" s="6">
        <f t="shared" si="0"/>
        <v>0</v>
      </c>
    </row>
    <row r="11" spans="1:10" ht="15">
      <c r="A11" s="36">
        <v>5</v>
      </c>
      <c r="B11" s="3" t="s">
        <v>15</v>
      </c>
      <c r="C11" s="7"/>
      <c r="D11" s="11">
        <v>46780</v>
      </c>
      <c r="E11" s="11">
        <v>47130</v>
      </c>
      <c r="F11" s="6">
        <f>(E11-D11)*1</f>
        <v>350</v>
      </c>
      <c r="G11" s="7">
        <v>0</v>
      </c>
      <c r="H11" s="7">
        <v>0</v>
      </c>
      <c r="I11" s="7">
        <f aca="true" t="shared" si="1" ref="I11:I16">F11-G11-H11</f>
        <v>350</v>
      </c>
      <c r="J11" s="6">
        <f t="shared" si="0"/>
        <v>0.09891476373502148</v>
      </c>
    </row>
    <row r="12" spans="1:10" ht="15">
      <c r="A12" s="37"/>
      <c r="B12" s="3" t="s">
        <v>16</v>
      </c>
      <c r="C12" s="7"/>
      <c r="D12" s="11">
        <v>24720</v>
      </c>
      <c r="E12" s="11">
        <v>24930</v>
      </c>
      <c r="F12" s="6">
        <f>(E12-D12)*1</f>
        <v>210</v>
      </c>
      <c r="G12" s="7">
        <v>0</v>
      </c>
      <c r="H12" s="7">
        <v>0</v>
      </c>
      <c r="I12" s="7">
        <f t="shared" si="1"/>
        <v>210</v>
      </c>
      <c r="J12" s="6">
        <f t="shared" si="0"/>
        <v>0.05934885824101289</v>
      </c>
    </row>
    <row r="13" spans="1:10" ht="15">
      <c r="A13" s="37"/>
      <c r="B13" s="3" t="s">
        <v>17</v>
      </c>
      <c r="C13" s="7"/>
      <c r="D13" s="11">
        <v>3475</v>
      </c>
      <c r="E13" s="11">
        <v>3490</v>
      </c>
      <c r="F13" s="6">
        <f>(E13-D13)*10</f>
        <v>150</v>
      </c>
      <c r="G13" s="7">
        <v>0</v>
      </c>
      <c r="H13" s="7">
        <v>0</v>
      </c>
      <c r="I13" s="7">
        <f t="shared" si="1"/>
        <v>150</v>
      </c>
      <c r="J13" s="6">
        <f t="shared" si="0"/>
        <v>0.04239204160072349</v>
      </c>
    </row>
    <row r="14" spans="1:10" ht="15">
      <c r="A14" s="37"/>
      <c r="B14" s="3" t="s">
        <v>18</v>
      </c>
      <c r="C14" s="7"/>
      <c r="D14" s="11">
        <v>3361</v>
      </c>
      <c r="E14" s="11">
        <v>3377</v>
      </c>
      <c r="F14" s="6">
        <f>(E14-D14)*10</f>
        <v>160</v>
      </c>
      <c r="G14" s="7">
        <v>0</v>
      </c>
      <c r="H14" s="7">
        <v>0</v>
      </c>
      <c r="I14" s="7">
        <f t="shared" si="1"/>
        <v>160</v>
      </c>
      <c r="J14" s="6">
        <f t="shared" si="0"/>
        <v>0.04521817770743839</v>
      </c>
    </row>
    <row r="15" spans="1:10" ht="15">
      <c r="A15" s="37"/>
      <c r="B15" s="3" t="s">
        <v>19</v>
      </c>
      <c r="C15" s="7"/>
      <c r="D15" s="11">
        <v>112170</v>
      </c>
      <c r="E15" s="11">
        <v>112880</v>
      </c>
      <c r="F15" s="6">
        <f>(E15-D15)*1</f>
        <v>710</v>
      </c>
      <c r="G15" s="7">
        <v>0</v>
      </c>
      <c r="H15" s="7">
        <v>0</v>
      </c>
      <c r="I15" s="7">
        <f t="shared" si="1"/>
        <v>710</v>
      </c>
      <c r="J15" s="6">
        <f t="shared" si="0"/>
        <v>0.20065566357675785</v>
      </c>
    </row>
    <row r="16" spans="1:10" ht="15">
      <c r="A16" s="37"/>
      <c r="B16" s="3" t="s">
        <v>20</v>
      </c>
      <c r="C16" s="7"/>
      <c r="D16" s="11">
        <v>104240</v>
      </c>
      <c r="E16" s="11">
        <v>105120</v>
      </c>
      <c r="F16" s="6">
        <f>(E16-D16)*1</f>
        <v>880</v>
      </c>
      <c r="G16" s="7">
        <v>0</v>
      </c>
      <c r="H16" s="7">
        <v>0</v>
      </c>
      <c r="I16" s="7">
        <f t="shared" si="1"/>
        <v>880</v>
      </c>
      <c r="J16" s="6">
        <f t="shared" si="0"/>
        <v>0.24869997739091115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2460</v>
      </c>
      <c r="G17" s="14">
        <f>SUM(G11:G16)</f>
        <v>0</v>
      </c>
      <c r="H17" s="17">
        <v>0</v>
      </c>
      <c r="I17" s="14">
        <f>SUM(I11:I16)</f>
        <v>2460</v>
      </c>
      <c r="J17" s="6">
        <f t="shared" si="0"/>
        <v>0.6952294822518652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1210</v>
      </c>
      <c r="G18" s="16">
        <f t="shared" si="2"/>
        <v>0</v>
      </c>
      <c r="H18" s="16">
        <f t="shared" si="2"/>
        <v>0</v>
      </c>
      <c r="I18" s="16">
        <f t="shared" si="2"/>
        <v>1210</v>
      </c>
      <c r="J18" s="6">
        <f t="shared" si="0"/>
        <v>0.3419624689125028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1250</v>
      </c>
      <c r="G19" s="15">
        <f t="shared" si="2"/>
        <v>0</v>
      </c>
      <c r="H19" s="15">
        <f t="shared" si="2"/>
        <v>0</v>
      </c>
      <c r="I19" s="15">
        <f t="shared" si="2"/>
        <v>1250</v>
      </c>
      <c r="J19" s="6">
        <f t="shared" si="0"/>
        <v>0.3532670133393624</v>
      </c>
    </row>
  </sheetData>
  <sheetProtection/>
  <mergeCells count="11"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19"/>
  <sheetViews>
    <sheetView tabSelected="1"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:J4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48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4">
        <f>22.73+0.59</f>
        <v>23.32</v>
      </c>
      <c r="G7" s="24">
        <f>G8*0.0478</f>
        <v>12.046230959999999</v>
      </c>
      <c r="H7" s="20">
        <f>0.59</f>
        <v>0.59</v>
      </c>
      <c r="I7" s="7">
        <f>8.246*0.0478</f>
        <v>0.39415880000000003</v>
      </c>
      <c r="J7" s="6">
        <f aca="true" t="shared" si="0" ref="J7:J19">I7/3538.4</f>
        <v>0.00011139464164594167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252.08+5.82</f>
        <v>257.90000000000003</v>
      </c>
      <c r="G8" s="5">
        <f>191.8332+58.3+1.88</f>
        <v>252.01319999999998</v>
      </c>
      <c r="H8" s="5">
        <f>5.82</f>
        <v>5.82</v>
      </c>
      <c r="I8" s="7">
        <f>F8-G8-H8</f>
        <v>0.06680000000005037</v>
      </c>
      <c r="J8" s="6">
        <f t="shared" si="0"/>
        <v>1.8878589192869764E-05</v>
      </c>
    </row>
    <row r="9" spans="1:10" ht="15">
      <c r="A9" s="2">
        <v>3</v>
      </c>
      <c r="B9" s="3" t="s">
        <v>21</v>
      </c>
      <c r="C9" s="7" t="s">
        <v>47</v>
      </c>
      <c r="D9" s="8"/>
      <c r="E9" s="8"/>
      <c r="F9" s="5">
        <v>399.841</v>
      </c>
      <c r="G9" s="5">
        <f>232.0177+100.83+1.55</f>
        <v>334.3977</v>
      </c>
      <c r="H9" s="5">
        <v>0</v>
      </c>
      <c r="I9" s="7">
        <v>8.246</v>
      </c>
      <c r="J9" s="6">
        <f t="shared" si="0"/>
        <v>0.0023304318335971063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657.741</v>
      </c>
      <c r="G10" s="5">
        <f>423.851+162.56</f>
        <v>586.4110000000001</v>
      </c>
      <c r="H10" s="5">
        <f>H8+H9</f>
        <v>5.82</v>
      </c>
      <c r="I10" s="7">
        <v>0</v>
      </c>
      <c r="J10" s="6">
        <f t="shared" si="0"/>
        <v>0</v>
      </c>
    </row>
    <row r="11" spans="1:10" ht="15">
      <c r="A11" s="36">
        <v>5</v>
      </c>
      <c r="B11" s="3" t="s">
        <v>15</v>
      </c>
      <c r="C11" s="7"/>
      <c r="D11" s="11">
        <v>47130</v>
      </c>
      <c r="E11" s="11">
        <v>47410</v>
      </c>
      <c r="F11" s="6">
        <f>(E11-D11)*1</f>
        <v>280</v>
      </c>
      <c r="G11" s="7">
        <v>0</v>
      </c>
      <c r="H11" s="7">
        <v>0</v>
      </c>
      <c r="I11" s="7">
        <f aca="true" t="shared" si="1" ref="I11:I16">F11-G11-H11</f>
        <v>280</v>
      </c>
      <c r="J11" s="6">
        <f t="shared" si="0"/>
        <v>0.07913181098801718</v>
      </c>
    </row>
    <row r="12" spans="1:10" ht="15">
      <c r="A12" s="37"/>
      <c r="B12" s="3" t="s">
        <v>16</v>
      </c>
      <c r="C12" s="7"/>
      <c r="D12" s="11">
        <v>24930</v>
      </c>
      <c r="E12" s="11">
        <v>25090</v>
      </c>
      <c r="F12" s="6">
        <f>(E12-D12)*1</f>
        <v>160</v>
      </c>
      <c r="G12" s="7">
        <v>0</v>
      </c>
      <c r="H12" s="7">
        <v>0</v>
      </c>
      <c r="I12" s="7">
        <f t="shared" si="1"/>
        <v>160</v>
      </c>
      <c r="J12" s="6">
        <f t="shared" si="0"/>
        <v>0.04521817770743839</v>
      </c>
    </row>
    <row r="13" spans="1:10" ht="15">
      <c r="A13" s="37"/>
      <c r="B13" s="3" t="s">
        <v>17</v>
      </c>
      <c r="C13" s="7"/>
      <c r="D13" s="11">
        <v>3490</v>
      </c>
      <c r="E13" s="11">
        <v>3504</v>
      </c>
      <c r="F13" s="6">
        <f>(E13-D13)*10</f>
        <v>140</v>
      </c>
      <c r="G13" s="7">
        <v>0</v>
      </c>
      <c r="H13" s="7">
        <v>0</v>
      </c>
      <c r="I13" s="7">
        <f t="shared" si="1"/>
        <v>140</v>
      </c>
      <c r="J13" s="6">
        <f t="shared" si="0"/>
        <v>0.03956590549400859</v>
      </c>
    </row>
    <row r="14" spans="1:10" ht="15">
      <c r="A14" s="37"/>
      <c r="B14" s="3" t="s">
        <v>18</v>
      </c>
      <c r="C14" s="7"/>
      <c r="D14" s="11">
        <v>3377</v>
      </c>
      <c r="E14" s="11">
        <v>3388</v>
      </c>
      <c r="F14" s="6">
        <f>(E14-D14)*10</f>
        <v>110</v>
      </c>
      <c r="G14" s="7">
        <v>0</v>
      </c>
      <c r="H14" s="7">
        <v>0</v>
      </c>
      <c r="I14" s="7">
        <f t="shared" si="1"/>
        <v>110</v>
      </c>
      <c r="J14" s="6">
        <f t="shared" si="0"/>
        <v>0.031087497173863894</v>
      </c>
    </row>
    <row r="15" spans="1:10" ht="15">
      <c r="A15" s="37"/>
      <c r="B15" s="3" t="s">
        <v>19</v>
      </c>
      <c r="C15" s="7"/>
      <c r="D15" s="11">
        <v>112880</v>
      </c>
      <c r="E15" s="11">
        <v>113490</v>
      </c>
      <c r="F15" s="6">
        <f>(E15-D15)*1</f>
        <v>610</v>
      </c>
      <c r="G15" s="7">
        <v>0</v>
      </c>
      <c r="H15" s="7">
        <v>0</v>
      </c>
      <c r="I15" s="7">
        <f t="shared" si="1"/>
        <v>610</v>
      </c>
      <c r="J15" s="6">
        <f t="shared" si="0"/>
        <v>0.17239430250960885</v>
      </c>
    </row>
    <row r="16" spans="1:10" ht="15">
      <c r="A16" s="37"/>
      <c r="B16" s="3" t="s">
        <v>20</v>
      </c>
      <c r="C16" s="7"/>
      <c r="D16" s="11">
        <v>105120</v>
      </c>
      <c r="E16" s="11">
        <v>105780</v>
      </c>
      <c r="F16" s="6">
        <f>(E16-D16)*1</f>
        <v>660</v>
      </c>
      <c r="G16" s="7">
        <v>0</v>
      </c>
      <c r="H16" s="7">
        <v>0</v>
      </c>
      <c r="I16" s="7">
        <f t="shared" si="1"/>
        <v>660</v>
      </c>
      <c r="J16" s="6">
        <f t="shared" si="0"/>
        <v>0.18652498304318335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1960</v>
      </c>
      <c r="G17" s="14">
        <f>SUM(G11:G16)</f>
        <v>0</v>
      </c>
      <c r="H17" s="17">
        <v>0</v>
      </c>
      <c r="I17" s="14">
        <f>SUM(I11:I16)</f>
        <v>1960</v>
      </c>
      <c r="J17" s="6">
        <f t="shared" si="0"/>
        <v>0.5539226769161203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1030</v>
      </c>
      <c r="G18" s="16">
        <f t="shared" si="2"/>
        <v>0</v>
      </c>
      <c r="H18" s="16">
        <f t="shared" si="2"/>
        <v>0</v>
      </c>
      <c r="I18" s="16">
        <f t="shared" si="2"/>
        <v>1030</v>
      </c>
      <c r="J18" s="6">
        <f t="shared" si="0"/>
        <v>0.2910920189916346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930</v>
      </c>
      <c r="G19" s="15">
        <f t="shared" si="2"/>
        <v>0</v>
      </c>
      <c r="H19" s="15">
        <f t="shared" si="2"/>
        <v>0</v>
      </c>
      <c r="I19" s="15">
        <f t="shared" si="2"/>
        <v>930</v>
      </c>
      <c r="J19" s="6">
        <f t="shared" si="0"/>
        <v>0.2628306579244856</v>
      </c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7" sqref="B7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26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">
        <v>1</v>
      </c>
      <c r="B7" s="3" t="s">
        <v>9</v>
      </c>
      <c r="C7" s="6"/>
      <c r="D7" s="8"/>
      <c r="E7" s="8"/>
      <c r="F7" s="6">
        <f>274.46+6.34</f>
        <v>280.79999999999995</v>
      </c>
      <c r="G7" s="5">
        <f>200.5+92.53</f>
        <v>293.03</v>
      </c>
      <c r="H7" s="5">
        <f>6.34</f>
        <v>6.34</v>
      </c>
      <c r="I7" s="7">
        <f aca="true" t="shared" si="0" ref="I7:I15">F7-G7-H7</f>
        <v>-18.570000000000018</v>
      </c>
      <c r="J7" s="6">
        <f aca="true" t="shared" si="1" ref="J7:J18">I7/3538.4</f>
        <v>-0.005248134750169573</v>
      </c>
      <c r="L7" s="18"/>
    </row>
    <row r="8" spans="1:10" ht="15">
      <c r="A8" s="2">
        <v>2</v>
      </c>
      <c r="B8" s="3" t="s">
        <v>21</v>
      </c>
      <c r="C8" s="7" t="s">
        <v>27</v>
      </c>
      <c r="D8" s="8"/>
      <c r="E8" s="8"/>
      <c r="F8" s="5">
        <v>369.03</v>
      </c>
      <c r="G8" s="5">
        <f>242.5+142.6+4.11</f>
        <v>389.21000000000004</v>
      </c>
      <c r="H8" s="5">
        <v>0</v>
      </c>
      <c r="I8" s="7">
        <f t="shared" si="0"/>
        <v>-20.180000000000064</v>
      </c>
      <c r="J8" s="6">
        <f t="shared" si="1"/>
        <v>-0.005703142663350685</v>
      </c>
    </row>
    <row r="9" spans="1:10" ht="15">
      <c r="A9" s="2">
        <v>3</v>
      </c>
      <c r="B9" s="3" t="s">
        <v>10</v>
      </c>
      <c r="C9" s="7"/>
      <c r="D9" s="8"/>
      <c r="E9" s="8"/>
      <c r="F9" s="5">
        <f>F7+F8</f>
        <v>649.8299999999999</v>
      </c>
      <c r="G9" s="5">
        <f>443+239.24</f>
        <v>682.24</v>
      </c>
      <c r="H9" s="5">
        <f>H7+H8</f>
        <v>6.34</v>
      </c>
      <c r="I9" s="7">
        <f t="shared" si="0"/>
        <v>-38.750000000000085</v>
      </c>
      <c r="J9" s="6">
        <f t="shared" si="1"/>
        <v>-0.010951277413520259</v>
      </c>
    </row>
    <row r="10" spans="1:10" ht="15">
      <c r="A10" s="36">
        <v>4</v>
      </c>
      <c r="B10" s="3" t="s">
        <v>15</v>
      </c>
      <c r="C10" s="7"/>
      <c r="D10" s="11">
        <v>43695</v>
      </c>
      <c r="E10" s="11">
        <v>44063</v>
      </c>
      <c r="F10" s="6">
        <f>(E10-D10)*1</f>
        <v>368</v>
      </c>
      <c r="G10" s="7">
        <v>0</v>
      </c>
      <c r="H10" s="7">
        <v>0</v>
      </c>
      <c r="I10" s="7">
        <f t="shared" si="0"/>
        <v>368</v>
      </c>
      <c r="J10" s="6">
        <f t="shared" si="1"/>
        <v>0.10400180872710829</v>
      </c>
    </row>
    <row r="11" spans="1:10" ht="15">
      <c r="A11" s="37"/>
      <c r="B11" s="3" t="s">
        <v>16</v>
      </c>
      <c r="C11" s="7"/>
      <c r="D11" s="11">
        <f>23013</f>
        <v>23013</v>
      </c>
      <c r="E11" s="11">
        <v>23197</v>
      </c>
      <c r="F11" s="6">
        <f>(E11-D11)*1</f>
        <v>184</v>
      </c>
      <c r="G11" s="7">
        <v>0</v>
      </c>
      <c r="H11" s="7">
        <v>0</v>
      </c>
      <c r="I11" s="7">
        <f t="shared" si="0"/>
        <v>184</v>
      </c>
      <c r="J11" s="6">
        <f t="shared" si="1"/>
        <v>0.052000904363554146</v>
      </c>
    </row>
    <row r="12" spans="1:10" ht="15">
      <c r="A12" s="37"/>
      <c r="B12" s="3" t="s">
        <v>17</v>
      </c>
      <c r="C12" s="7"/>
      <c r="D12" s="11">
        <v>3361</v>
      </c>
      <c r="E12" s="11">
        <v>3376</v>
      </c>
      <c r="F12" s="6">
        <f>(E12-D12)*10</f>
        <v>150</v>
      </c>
      <c r="G12" s="7">
        <v>0</v>
      </c>
      <c r="H12" s="7">
        <v>0</v>
      </c>
      <c r="I12" s="7">
        <f t="shared" si="0"/>
        <v>150</v>
      </c>
      <c r="J12" s="6">
        <f t="shared" si="1"/>
        <v>0.04239204160072349</v>
      </c>
    </row>
    <row r="13" spans="1:10" ht="15">
      <c r="A13" s="37"/>
      <c r="B13" s="3" t="s">
        <v>18</v>
      </c>
      <c r="C13" s="7"/>
      <c r="D13" s="11">
        <v>3243</v>
      </c>
      <c r="E13" s="11">
        <v>3258</v>
      </c>
      <c r="F13" s="6">
        <f>(E13-D13)*10</f>
        <v>150</v>
      </c>
      <c r="G13" s="7">
        <v>0</v>
      </c>
      <c r="H13" s="7">
        <v>0</v>
      </c>
      <c r="I13" s="7">
        <f t="shared" si="0"/>
        <v>150</v>
      </c>
      <c r="J13" s="6">
        <f t="shared" si="1"/>
        <v>0.04239204160072349</v>
      </c>
    </row>
    <row r="14" spans="1:10" ht="15">
      <c r="A14" s="37"/>
      <c r="B14" s="3" t="s">
        <v>19</v>
      </c>
      <c r="C14" s="7"/>
      <c r="D14" s="11">
        <v>106510</v>
      </c>
      <c r="E14" s="11">
        <v>107473</v>
      </c>
      <c r="F14" s="6">
        <f>(E14-D14)*1</f>
        <v>963</v>
      </c>
      <c r="G14" s="7">
        <v>0</v>
      </c>
      <c r="H14" s="7">
        <v>0</v>
      </c>
      <c r="I14" s="7">
        <f t="shared" si="0"/>
        <v>963</v>
      </c>
      <c r="J14" s="6">
        <f t="shared" si="1"/>
        <v>0.2721569070766448</v>
      </c>
    </row>
    <row r="15" spans="1:10" ht="15">
      <c r="A15" s="37"/>
      <c r="B15" s="3" t="s">
        <v>20</v>
      </c>
      <c r="C15" s="7"/>
      <c r="D15" s="11">
        <v>97528</v>
      </c>
      <c r="E15" s="11">
        <v>98642</v>
      </c>
      <c r="F15" s="6">
        <f>(E15-D15)*1</f>
        <v>1114</v>
      </c>
      <c r="G15" s="7">
        <v>0</v>
      </c>
      <c r="H15" s="7">
        <v>0</v>
      </c>
      <c r="I15" s="7">
        <f t="shared" si="0"/>
        <v>1114</v>
      </c>
      <c r="J15" s="6">
        <f t="shared" si="1"/>
        <v>0.31483156228803977</v>
      </c>
    </row>
    <row r="16" spans="1:10" ht="15">
      <c r="A16" s="12"/>
      <c r="B16" s="12" t="s">
        <v>14</v>
      </c>
      <c r="C16" s="12"/>
      <c r="D16" s="13"/>
      <c r="E16" s="12"/>
      <c r="F16" s="14">
        <f>SUM(F10:F15)</f>
        <v>2929</v>
      </c>
      <c r="G16" s="14">
        <f>SUM(G10:G15)</f>
        <v>0</v>
      </c>
      <c r="H16" s="17">
        <v>0</v>
      </c>
      <c r="I16" s="14">
        <f>SUM(I10:I15)</f>
        <v>2929</v>
      </c>
      <c r="J16" s="6">
        <f t="shared" si="1"/>
        <v>0.827775265656794</v>
      </c>
    </row>
    <row r="17" spans="1:12" ht="15">
      <c r="A17" s="1"/>
      <c r="B17" s="1"/>
      <c r="C17" s="1"/>
      <c r="D17" s="1"/>
      <c r="E17" s="1" t="s">
        <v>22</v>
      </c>
      <c r="F17" s="16">
        <f aca="true" t="shared" si="2" ref="F17:I18">F10+F12+F14</f>
        <v>1481</v>
      </c>
      <c r="G17" s="16">
        <f t="shared" si="2"/>
        <v>0</v>
      </c>
      <c r="H17" s="16">
        <f t="shared" si="2"/>
        <v>0</v>
      </c>
      <c r="I17" s="16">
        <f t="shared" si="2"/>
        <v>1481</v>
      </c>
      <c r="J17" s="6">
        <f t="shared" si="1"/>
        <v>0.4185507574044766</v>
      </c>
      <c r="K17" s="19"/>
      <c r="L17" s="18"/>
    </row>
    <row r="18" spans="1:12" ht="15">
      <c r="A18" s="1"/>
      <c r="B18" s="1"/>
      <c r="C18" s="1"/>
      <c r="D18" s="1"/>
      <c r="E18" s="1" t="s">
        <v>23</v>
      </c>
      <c r="F18" s="15">
        <f t="shared" si="2"/>
        <v>1448</v>
      </c>
      <c r="G18" s="15">
        <f t="shared" si="2"/>
        <v>0</v>
      </c>
      <c r="H18" s="15">
        <f t="shared" si="2"/>
        <v>0</v>
      </c>
      <c r="I18" s="15">
        <f t="shared" si="2"/>
        <v>1448</v>
      </c>
      <c r="J18" s="6">
        <f t="shared" si="1"/>
        <v>0.40922450825231743</v>
      </c>
      <c r="K18" s="19"/>
      <c r="L18" s="18"/>
    </row>
  </sheetData>
  <sheetProtection/>
  <mergeCells count="11">
    <mergeCell ref="J5:J6"/>
    <mergeCell ref="A10:A15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13" sqref="J13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28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">
        <v>1</v>
      </c>
      <c r="B7" s="3" t="s">
        <v>9</v>
      </c>
      <c r="C7" s="6"/>
      <c r="D7" s="8"/>
      <c r="E7" s="8"/>
      <c r="F7" s="6">
        <f>311.51+7.19</f>
        <v>318.7</v>
      </c>
      <c r="G7" s="5">
        <f>208.52+13.06</f>
        <v>221.58</v>
      </c>
      <c r="H7" s="5">
        <f>7.19</f>
        <v>7.19</v>
      </c>
      <c r="I7" s="7">
        <f aca="true" t="shared" si="0" ref="I7:I15">F7-G7-H7</f>
        <v>89.92999999999998</v>
      </c>
      <c r="J7" s="6">
        <f aca="true" t="shared" si="1" ref="J7:J18">I7/3538.4</f>
        <v>0.025415442007687084</v>
      </c>
      <c r="L7" s="18"/>
    </row>
    <row r="8" spans="1:10" ht="15">
      <c r="A8" s="2">
        <v>2</v>
      </c>
      <c r="B8" s="3" t="s">
        <v>21</v>
      </c>
      <c r="C8" s="7" t="s">
        <v>29</v>
      </c>
      <c r="D8" s="8"/>
      <c r="E8" s="8"/>
      <c r="F8" s="5">
        <v>327.766</v>
      </c>
      <c r="G8" s="5">
        <f>242.5+45.84+2.1</f>
        <v>290.44000000000005</v>
      </c>
      <c r="H8" s="5">
        <v>0</v>
      </c>
      <c r="I8" s="7">
        <f t="shared" si="0"/>
        <v>37.325999999999965</v>
      </c>
      <c r="J8" s="6">
        <f t="shared" si="1"/>
        <v>0.010548835631924023</v>
      </c>
    </row>
    <row r="9" spans="1:10" ht="15">
      <c r="A9" s="2">
        <v>3</v>
      </c>
      <c r="B9" s="3" t="s">
        <v>10</v>
      </c>
      <c r="C9" s="7"/>
      <c r="D9" s="8"/>
      <c r="E9" s="8"/>
      <c r="F9" s="5">
        <f>F7+F8</f>
        <v>646.466</v>
      </c>
      <c r="G9" s="5">
        <f>443+58.36+10.66</f>
        <v>512.02</v>
      </c>
      <c r="H9" s="5">
        <f>H7+H8</f>
        <v>7.19</v>
      </c>
      <c r="I9" s="7">
        <f t="shared" si="0"/>
        <v>127.25600000000003</v>
      </c>
      <c r="J9" s="6">
        <f t="shared" si="1"/>
        <v>0.03596427763961113</v>
      </c>
    </row>
    <row r="10" spans="1:10" ht="15">
      <c r="A10" s="36">
        <v>4</v>
      </c>
      <c r="B10" s="3" t="s">
        <v>15</v>
      </c>
      <c r="C10" s="7"/>
      <c r="D10" s="11">
        <v>44063</v>
      </c>
      <c r="E10" s="11">
        <v>44340</v>
      </c>
      <c r="F10" s="6">
        <f>(E10-D10)*1</f>
        <v>277</v>
      </c>
      <c r="G10" s="7">
        <v>0</v>
      </c>
      <c r="H10" s="7">
        <v>0</v>
      </c>
      <c r="I10" s="7">
        <f t="shared" si="0"/>
        <v>277</v>
      </c>
      <c r="J10" s="6">
        <f t="shared" si="1"/>
        <v>0.0782839701560027</v>
      </c>
    </row>
    <row r="11" spans="1:10" ht="15">
      <c r="A11" s="37"/>
      <c r="B11" s="3" t="s">
        <v>16</v>
      </c>
      <c r="C11" s="7"/>
      <c r="D11" s="11">
        <v>23197</v>
      </c>
      <c r="E11" s="11">
        <v>23360</v>
      </c>
      <c r="F11" s="6">
        <f>(E11-D11)*1</f>
        <v>163</v>
      </c>
      <c r="G11" s="7">
        <v>0</v>
      </c>
      <c r="H11" s="7">
        <v>0</v>
      </c>
      <c r="I11" s="7">
        <f t="shared" si="0"/>
        <v>163</v>
      </c>
      <c r="J11" s="6">
        <f t="shared" si="1"/>
        <v>0.04606601853945286</v>
      </c>
    </row>
    <row r="12" spans="1:10" ht="15">
      <c r="A12" s="37"/>
      <c r="B12" s="3" t="s">
        <v>17</v>
      </c>
      <c r="C12" s="7"/>
      <c r="D12" s="11">
        <v>3376</v>
      </c>
      <c r="E12" s="11">
        <v>3388</v>
      </c>
      <c r="F12" s="6">
        <f>(E12-D12)*10</f>
        <v>120</v>
      </c>
      <c r="G12" s="7">
        <v>0</v>
      </c>
      <c r="H12" s="7">
        <v>0</v>
      </c>
      <c r="I12" s="7">
        <f t="shared" si="0"/>
        <v>120</v>
      </c>
      <c r="J12" s="6">
        <f t="shared" si="1"/>
        <v>0.033913633280578795</v>
      </c>
    </row>
    <row r="13" spans="1:10" ht="15">
      <c r="A13" s="37"/>
      <c r="B13" s="3" t="s">
        <v>18</v>
      </c>
      <c r="C13" s="7"/>
      <c r="D13" s="11">
        <v>3258</v>
      </c>
      <c r="E13" s="11">
        <v>3271</v>
      </c>
      <c r="F13" s="6">
        <f>(E13-D13)*10</f>
        <v>130</v>
      </c>
      <c r="G13" s="7">
        <v>0</v>
      </c>
      <c r="H13" s="7">
        <v>0</v>
      </c>
      <c r="I13" s="7">
        <f t="shared" si="0"/>
        <v>130</v>
      </c>
      <c r="J13" s="6">
        <f t="shared" si="1"/>
        <v>0.03673976938729369</v>
      </c>
    </row>
    <row r="14" spans="1:10" ht="15">
      <c r="A14" s="37"/>
      <c r="B14" s="3" t="s">
        <v>19</v>
      </c>
      <c r="C14" s="7"/>
      <c r="D14" s="11">
        <v>107473</v>
      </c>
      <c r="E14" s="11">
        <v>108090</v>
      </c>
      <c r="F14" s="6">
        <f>(E14-D14)*1</f>
        <v>617</v>
      </c>
      <c r="G14" s="7">
        <v>0</v>
      </c>
      <c r="H14" s="7">
        <v>0</v>
      </c>
      <c r="I14" s="7">
        <f t="shared" si="0"/>
        <v>617</v>
      </c>
      <c r="J14" s="6">
        <f t="shared" si="1"/>
        <v>0.17437259778430927</v>
      </c>
    </row>
    <row r="15" spans="1:10" ht="15">
      <c r="A15" s="37"/>
      <c r="B15" s="3" t="s">
        <v>20</v>
      </c>
      <c r="C15" s="7"/>
      <c r="D15" s="11">
        <v>98642</v>
      </c>
      <c r="E15" s="11">
        <v>99400</v>
      </c>
      <c r="F15" s="6">
        <f>(E15-D15)*1</f>
        <v>758</v>
      </c>
      <c r="G15" s="7">
        <v>0</v>
      </c>
      <c r="H15" s="7">
        <v>0</v>
      </c>
      <c r="I15" s="7">
        <f t="shared" si="0"/>
        <v>758</v>
      </c>
      <c r="J15" s="6">
        <f t="shared" si="1"/>
        <v>0.21422111688898937</v>
      </c>
    </row>
    <row r="16" spans="1:10" ht="15">
      <c r="A16" s="12"/>
      <c r="B16" s="12" t="s">
        <v>14</v>
      </c>
      <c r="C16" s="12"/>
      <c r="D16" s="13"/>
      <c r="E16" s="12"/>
      <c r="F16" s="14">
        <f>SUM(F10:F15)</f>
        <v>2065</v>
      </c>
      <c r="G16" s="14">
        <f>SUM(G10:G15)</f>
        <v>0</v>
      </c>
      <c r="H16" s="17">
        <v>0</v>
      </c>
      <c r="I16" s="14">
        <f>SUM(I10:I15)</f>
        <v>2065</v>
      </c>
      <c r="J16" s="6">
        <f t="shared" si="1"/>
        <v>0.5835971060366267</v>
      </c>
    </row>
    <row r="17" spans="1:12" ht="15">
      <c r="A17" s="1"/>
      <c r="B17" s="1"/>
      <c r="C17" s="1"/>
      <c r="D17" s="1"/>
      <c r="E17" s="1" t="s">
        <v>22</v>
      </c>
      <c r="F17" s="16">
        <f aca="true" t="shared" si="2" ref="F17:I18">F10+F12+F14</f>
        <v>1014</v>
      </c>
      <c r="G17" s="16">
        <f t="shared" si="2"/>
        <v>0</v>
      </c>
      <c r="H17" s="16">
        <f t="shared" si="2"/>
        <v>0</v>
      </c>
      <c r="I17" s="16">
        <f t="shared" si="2"/>
        <v>1014</v>
      </c>
      <c r="J17" s="6">
        <f t="shared" si="1"/>
        <v>0.2865702012208908</v>
      </c>
      <c r="K17" s="19"/>
      <c r="L17" s="18"/>
    </row>
    <row r="18" spans="1:12" ht="15">
      <c r="A18" s="1"/>
      <c r="B18" s="1"/>
      <c r="C18" s="1"/>
      <c r="D18" s="1"/>
      <c r="E18" s="1" t="s">
        <v>23</v>
      </c>
      <c r="F18" s="15">
        <f t="shared" si="2"/>
        <v>1051</v>
      </c>
      <c r="G18" s="15">
        <f t="shared" si="2"/>
        <v>0</v>
      </c>
      <c r="H18" s="15">
        <f t="shared" si="2"/>
        <v>0</v>
      </c>
      <c r="I18" s="15">
        <f t="shared" si="2"/>
        <v>1051</v>
      </c>
      <c r="J18" s="6">
        <f t="shared" si="1"/>
        <v>0.2970269048157359</v>
      </c>
      <c r="K18" s="19"/>
      <c r="L18" s="18"/>
    </row>
  </sheetData>
  <sheetProtection/>
  <mergeCells count="11">
    <mergeCell ref="I5:I6"/>
    <mergeCell ref="J5:J6"/>
    <mergeCell ref="A10:A15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30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0">
        <f>19.95+0.51</f>
        <v>20.46</v>
      </c>
      <c r="G7" s="24">
        <f>284.23*0.1917/4.01</f>
        <v>13.587753366583543</v>
      </c>
      <c r="H7" s="20">
        <v>0.51</v>
      </c>
      <c r="I7" s="7">
        <f>F7-G7-H7</f>
        <v>6.362246633416458</v>
      </c>
      <c r="J7" s="6">
        <f aca="true" t="shared" si="0" ref="J7:J19">I7/3538.4</f>
        <v>0.0017980574930523564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226.64+5.46</f>
        <v>232.1</v>
      </c>
      <c r="G8" s="5">
        <f>208.52+75.71</f>
        <v>284.23</v>
      </c>
      <c r="H8" s="5">
        <f>5.46</f>
        <v>5.46</v>
      </c>
      <c r="I8" s="7">
        <f aca="true" t="shared" si="1" ref="I8:I16">F8-G8-H8</f>
        <v>-57.590000000000025</v>
      </c>
      <c r="J8" s="6">
        <f t="shared" si="0"/>
        <v>-0.01627571783857111</v>
      </c>
    </row>
    <row r="9" spans="1:10" ht="15">
      <c r="A9" s="2">
        <v>3</v>
      </c>
      <c r="B9" s="3" t="s">
        <v>21</v>
      </c>
      <c r="C9" s="7" t="s">
        <v>32</v>
      </c>
      <c r="D9" s="8"/>
      <c r="E9" s="8"/>
      <c r="F9" s="5">
        <v>344.423</v>
      </c>
      <c r="G9" s="5">
        <f>242.5+110.68+2.68</f>
        <v>355.86</v>
      </c>
      <c r="H9" s="5">
        <v>0</v>
      </c>
      <c r="I9" s="7">
        <f t="shared" si="1"/>
        <v>-11.437000000000012</v>
      </c>
      <c r="J9" s="6">
        <f t="shared" si="0"/>
        <v>-0.003232251865249834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576.523</v>
      </c>
      <c r="G10" s="5">
        <f>443+184.5+1.34+11.25</f>
        <v>640.09</v>
      </c>
      <c r="H10" s="5">
        <f>H8+H9</f>
        <v>5.46</v>
      </c>
      <c r="I10" s="7">
        <f t="shared" si="1"/>
        <v>-69.027</v>
      </c>
      <c r="J10" s="6">
        <f t="shared" si="0"/>
        <v>-0.019507969703820936</v>
      </c>
    </row>
    <row r="11" spans="1:10" ht="15">
      <c r="A11" s="36">
        <v>5</v>
      </c>
      <c r="B11" s="3" t="s">
        <v>15</v>
      </c>
      <c r="C11" s="7"/>
      <c r="D11" s="11">
        <v>44340</v>
      </c>
      <c r="E11" s="11">
        <v>44760</v>
      </c>
      <c r="F11" s="6">
        <f>(E11-D11)*1</f>
        <v>420</v>
      </c>
      <c r="G11" s="7">
        <v>0</v>
      </c>
      <c r="H11" s="7">
        <v>0</v>
      </c>
      <c r="I11" s="7">
        <f t="shared" si="1"/>
        <v>420</v>
      </c>
      <c r="J11" s="6">
        <f t="shared" si="0"/>
        <v>0.11869771648202578</v>
      </c>
    </row>
    <row r="12" spans="1:10" ht="15">
      <c r="A12" s="37"/>
      <c r="B12" s="3" t="s">
        <v>16</v>
      </c>
      <c r="C12" s="7"/>
      <c r="D12" s="11">
        <v>23360</v>
      </c>
      <c r="E12" s="11">
        <v>23590</v>
      </c>
      <c r="F12" s="6">
        <f>(E12-D12)*1</f>
        <v>230</v>
      </c>
      <c r="G12" s="7">
        <v>0</v>
      </c>
      <c r="H12" s="7">
        <v>0</v>
      </c>
      <c r="I12" s="7">
        <f t="shared" si="1"/>
        <v>230</v>
      </c>
      <c r="J12" s="6">
        <f t="shared" si="0"/>
        <v>0.06500113045444268</v>
      </c>
    </row>
    <row r="13" spans="1:10" ht="15">
      <c r="A13" s="37"/>
      <c r="B13" s="3" t="s">
        <v>17</v>
      </c>
      <c r="C13" s="7"/>
      <c r="D13" s="11">
        <v>3388</v>
      </c>
      <c r="E13" s="11">
        <v>3401</v>
      </c>
      <c r="F13" s="6">
        <f>(E13-D13)*10</f>
        <v>130</v>
      </c>
      <c r="G13" s="7">
        <v>0</v>
      </c>
      <c r="H13" s="7">
        <v>0</v>
      </c>
      <c r="I13" s="7">
        <f t="shared" si="1"/>
        <v>130</v>
      </c>
      <c r="J13" s="6">
        <f t="shared" si="0"/>
        <v>0.03673976938729369</v>
      </c>
    </row>
    <row r="14" spans="1:10" ht="15">
      <c r="A14" s="37"/>
      <c r="B14" s="3" t="s">
        <v>18</v>
      </c>
      <c r="C14" s="7"/>
      <c r="D14" s="11">
        <v>3271</v>
      </c>
      <c r="E14" s="11">
        <v>3283</v>
      </c>
      <c r="F14" s="6">
        <f>(E14-D14)*10</f>
        <v>120</v>
      </c>
      <c r="G14" s="7">
        <v>0</v>
      </c>
      <c r="H14" s="7">
        <v>0</v>
      </c>
      <c r="I14" s="7">
        <f t="shared" si="1"/>
        <v>120</v>
      </c>
      <c r="J14" s="6">
        <f t="shared" si="0"/>
        <v>0.033913633280578795</v>
      </c>
    </row>
    <row r="15" spans="1:10" ht="15">
      <c r="A15" s="37"/>
      <c r="B15" s="3" t="s">
        <v>19</v>
      </c>
      <c r="C15" s="7"/>
      <c r="D15" s="11">
        <v>108090</v>
      </c>
      <c r="E15" s="11">
        <v>108810</v>
      </c>
      <c r="F15" s="6">
        <f>(E15-D15)*1</f>
        <v>720</v>
      </c>
      <c r="G15" s="7">
        <v>0</v>
      </c>
      <c r="H15" s="7">
        <v>0</v>
      </c>
      <c r="I15" s="7">
        <f t="shared" si="1"/>
        <v>720</v>
      </c>
      <c r="J15" s="6">
        <f t="shared" si="0"/>
        <v>0.20348179968347274</v>
      </c>
    </row>
    <row r="16" spans="1:10" ht="15">
      <c r="A16" s="37"/>
      <c r="B16" s="3" t="s">
        <v>20</v>
      </c>
      <c r="C16" s="7"/>
      <c r="D16" s="11">
        <v>99400</v>
      </c>
      <c r="E16" s="11">
        <v>100140</v>
      </c>
      <c r="F16" s="6">
        <f>(E16-D16)*1</f>
        <v>740</v>
      </c>
      <c r="G16" s="7">
        <v>0</v>
      </c>
      <c r="H16" s="7">
        <v>0</v>
      </c>
      <c r="I16" s="7">
        <f t="shared" si="1"/>
        <v>740</v>
      </c>
      <c r="J16" s="6">
        <f t="shared" si="0"/>
        <v>0.20913407189690256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2360</v>
      </c>
      <c r="G17" s="14">
        <f>SUM(G11:G16)</f>
        <v>0</v>
      </c>
      <c r="H17" s="17">
        <v>0</v>
      </c>
      <c r="I17" s="14">
        <f>SUM(I11:I16)</f>
        <v>2360</v>
      </c>
      <c r="J17" s="6">
        <f t="shared" si="0"/>
        <v>0.6669681211847163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1270</v>
      </c>
      <c r="G18" s="16">
        <f t="shared" si="2"/>
        <v>0</v>
      </c>
      <c r="H18" s="16">
        <f t="shared" si="2"/>
        <v>0</v>
      </c>
      <c r="I18" s="16">
        <f t="shared" si="2"/>
        <v>1270</v>
      </c>
      <c r="J18" s="6">
        <f t="shared" si="0"/>
        <v>0.35891928555279223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1090</v>
      </c>
      <c r="G19" s="15">
        <f t="shared" si="2"/>
        <v>0</v>
      </c>
      <c r="H19" s="15">
        <f t="shared" si="2"/>
        <v>0</v>
      </c>
      <c r="I19" s="15">
        <f t="shared" si="2"/>
        <v>1090</v>
      </c>
      <c r="J19" s="6">
        <f t="shared" si="0"/>
        <v>0.30804883563192403</v>
      </c>
    </row>
  </sheetData>
  <sheetProtection/>
  <mergeCells count="11">
    <mergeCell ref="H5:H6"/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8" sqref="G8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33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0">
        <f>15.9+0.41</f>
        <v>16.31</v>
      </c>
      <c r="G7" s="25">
        <f>250.88*0.0478</f>
        <v>11.992064000000001</v>
      </c>
      <c r="H7" s="20">
        <v>0.41</v>
      </c>
      <c r="I7" s="7">
        <f aca="true" t="shared" si="0" ref="I7:I16">F7-G7-H7</f>
        <v>3.9079359999999976</v>
      </c>
      <c r="J7" s="6">
        <f aca="true" t="shared" si="1" ref="J7:J19">I7/3538.4</f>
        <v>0.001104435903233099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233.76+4.94</f>
        <v>238.7</v>
      </c>
      <c r="G8" s="26">
        <f>208.52+42.364</f>
        <v>250.88400000000001</v>
      </c>
      <c r="H8" s="5">
        <f>4.94</f>
        <v>4.94</v>
      </c>
      <c r="I8" s="7">
        <f t="shared" si="0"/>
        <v>-17.124000000000027</v>
      </c>
      <c r="J8" s="6">
        <f t="shared" si="1"/>
        <v>-0.004839475469138601</v>
      </c>
    </row>
    <row r="9" spans="1:10" ht="15">
      <c r="A9" s="2">
        <v>3</v>
      </c>
      <c r="B9" s="3" t="s">
        <v>21</v>
      </c>
      <c r="C9" s="7" t="s">
        <v>34</v>
      </c>
      <c r="D9" s="8"/>
      <c r="E9" s="8"/>
      <c r="F9" s="5">
        <v>319.7</v>
      </c>
      <c r="G9" s="5">
        <f>242.5+72.478+1.01</f>
        <v>315.988</v>
      </c>
      <c r="H9" s="5">
        <v>0</v>
      </c>
      <c r="I9" s="7">
        <f t="shared" si="0"/>
        <v>3.711999999999989</v>
      </c>
      <c r="J9" s="6">
        <f t="shared" si="1"/>
        <v>0.0010490617228125676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558.4</v>
      </c>
      <c r="G10" s="5">
        <f>443+108.052+0.63+15.19</f>
        <v>566.8720000000001</v>
      </c>
      <c r="H10" s="5">
        <f>H8+H9</f>
        <v>4.94</v>
      </c>
      <c r="I10" s="7">
        <f t="shared" si="0"/>
        <v>-13.412000000000095</v>
      </c>
      <c r="J10" s="6">
        <f t="shared" si="1"/>
        <v>-0.00379041374632605</v>
      </c>
    </row>
    <row r="11" spans="1:10" ht="15">
      <c r="A11" s="36">
        <v>5</v>
      </c>
      <c r="B11" s="3" t="s">
        <v>15</v>
      </c>
      <c r="C11" s="7"/>
      <c r="D11" s="11">
        <v>44760</v>
      </c>
      <c r="E11" s="11">
        <v>45110</v>
      </c>
      <c r="F11" s="6">
        <f>(E11-D11)*1</f>
        <v>350</v>
      </c>
      <c r="G11" s="7">
        <v>0</v>
      </c>
      <c r="H11" s="7">
        <v>0</v>
      </c>
      <c r="I11" s="7">
        <f t="shared" si="0"/>
        <v>350</v>
      </c>
      <c r="J11" s="6">
        <f t="shared" si="1"/>
        <v>0.09891476373502148</v>
      </c>
    </row>
    <row r="12" spans="1:10" ht="15">
      <c r="A12" s="37"/>
      <c r="B12" s="3" t="s">
        <v>16</v>
      </c>
      <c r="C12" s="7"/>
      <c r="D12" s="11">
        <v>23590</v>
      </c>
      <c r="E12" s="11">
        <v>23820</v>
      </c>
      <c r="F12" s="6">
        <f>(E12-D12)*1</f>
        <v>230</v>
      </c>
      <c r="G12" s="7">
        <v>0</v>
      </c>
      <c r="H12" s="7">
        <v>0</v>
      </c>
      <c r="I12" s="7">
        <f t="shared" si="0"/>
        <v>230</v>
      </c>
      <c r="J12" s="6">
        <f t="shared" si="1"/>
        <v>0.06500113045444268</v>
      </c>
    </row>
    <row r="13" spans="1:10" ht="15">
      <c r="A13" s="37"/>
      <c r="B13" s="3" t="s">
        <v>17</v>
      </c>
      <c r="C13" s="7"/>
      <c r="D13" s="11">
        <v>3401</v>
      </c>
      <c r="E13" s="11">
        <v>3412</v>
      </c>
      <c r="F13" s="6">
        <f>(E13-D13)*10</f>
        <v>110</v>
      </c>
      <c r="G13" s="7">
        <v>0</v>
      </c>
      <c r="H13" s="7">
        <v>0</v>
      </c>
      <c r="I13" s="7">
        <f t="shared" si="0"/>
        <v>110</v>
      </c>
      <c r="J13" s="6">
        <f t="shared" si="1"/>
        <v>0.031087497173863894</v>
      </c>
    </row>
    <row r="14" spans="1:10" ht="15">
      <c r="A14" s="37"/>
      <c r="B14" s="3" t="s">
        <v>18</v>
      </c>
      <c r="C14" s="7"/>
      <c r="D14" s="11">
        <v>3283</v>
      </c>
      <c r="E14" s="11">
        <v>3296</v>
      </c>
      <c r="F14" s="6">
        <f>(E14-D14)*10</f>
        <v>130</v>
      </c>
      <c r="G14" s="7">
        <v>0</v>
      </c>
      <c r="H14" s="7">
        <v>0</v>
      </c>
      <c r="I14" s="7">
        <f t="shared" si="0"/>
        <v>130</v>
      </c>
      <c r="J14" s="6">
        <f t="shared" si="1"/>
        <v>0.03673976938729369</v>
      </c>
    </row>
    <row r="15" spans="1:10" ht="15">
      <c r="A15" s="37"/>
      <c r="B15" s="3" t="s">
        <v>19</v>
      </c>
      <c r="C15" s="7"/>
      <c r="D15" s="11">
        <v>108810</v>
      </c>
      <c r="E15" s="11">
        <v>109420</v>
      </c>
      <c r="F15" s="6">
        <f>(E15-D15)*1</f>
        <v>610</v>
      </c>
      <c r="G15" s="7">
        <v>0</v>
      </c>
      <c r="H15" s="7">
        <v>0</v>
      </c>
      <c r="I15" s="7">
        <f t="shared" si="0"/>
        <v>610</v>
      </c>
      <c r="J15" s="6">
        <f t="shared" si="1"/>
        <v>0.17239430250960885</v>
      </c>
    </row>
    <row r="16" spans="1:10" ht="15">
      <c r="A16" s="37"/>
      <c r="B16" s="3" t="s">
        <v>20</v>
      </c>
      <c r="C16" s="7"/>
      <c r="D16" s="11">
        <v>100140</v>
      </c>
      <c r="E16" s="11">
        <v>100920</v>
      </c>
      <c r="F16" s="6">
        <f>(E16-D16)*1</f>
        <v>780</v>
      </c>
      <c r="G16" s="7">
        <v>0</v>
      </c>
      <c r="H16" s="7">
        <v>0</v>
      </c>
      <c r="I16" s="7">
        <f t="shared" si="0"/>
        <v>780</v>
      </c>
      <c r="J16" s="6">
        <f t="shared" si="1"/>
        <v>0.22043861632376216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2210</v>
      </c>
      <c r="G17" s="14">
        <f>SUM(G11:G16)</f>
        <v>0</v>
      </c>
      <c r="H17" s="17">
        <v>0</v>
      </c>
      <c r="I17" s="14">
        <f>SUM(I11:I16)</f>
        <v>2210</v>
      </c>
      <c r="J17" s="6">
        <f t="shared" si="1"/>
        <v>0.6245760795839927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1070</v>
      </c>
      <c r="G18" s="16">
        <f t="shared" si="2"/>
        <v>0</v>
      </c>
      <c r="H18" s="16">
        <f t="shared" si="2"/>
        <v>0</v>
      </c>
      <c r="I18" s="16">
        <f t="shared" si="2"/>
        <v>1070</v>
      </c>
      <c r="J18" s="6">
        <f t="shared" si="1"/>
        <v>0.30239656341849425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1140</v>
      </c>
      <c r="G19" s="15">
        <f t="shared" si="2"/>
        <v>0</v>
      </c>
      <c r="H19" s="15">
        <f t="shared" si="2"/>
        <v>0</v>
      </c>
      <c r="I19" s="15">
        <f t="shared" si="2"/>
        <v>1140</v>
      </c>
      <c r="J19" s="6">
        <f t="shared" si="1"/>
        <v>0.3221795161654985</v>
      </c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9" sqref="G19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35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4">
        <f>10.24+0.26</f>
        <v>10.5</v>
      </c>
      <c r="G7" s="24">
        <f>G8*0.0478</f>
        <v>13.213640800000002</v>
      </c>
      <c r="H7" s="20">
        <f>0.26</f>
        <v>0.26</v>
      </c>
      <c r="I7" s="7">
        <f aca="true" t="shared" si="0" ref="I7:I16">F7-G7-H7</f>
        <v>-2.973640800000002</v>
      </c>
      <c r="J7" s="6">
        <f aca="true" t="shared" si="1" ref="J7:J19">I7/3538.4</f>
        <v>-0.0008403913633280584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276.81+6.39</f>
        <v>283.2</v>
      </c>
      <c r="G8" s="5">
        <f>208.52+66.926+0.99</f>
        <v>276.43600000000004</v>
      </c>
      <c r="H8" s="5">
        <f>6.39</f>
        <v>6.39</v>
      </c>
      <c r="I8" s="7">
        <f t="shared" si="0"/>
        <v>0.3739999999999535</v>
      </c>
      <c r="J8" s="6">
        <f t="shared" si="1"/>
        <v>0.00010569749039112409</v>
      </c>
    </row>
    <row r="9" spans="1:10" ht="15">
      <c r="A9" s="2">
        <v>3</v>
      </c>
      <c r="B9" s="3" t="s">
        <v>21</v>
      </c>
      <c r="C9" s="7" t="s">
        <v>36</v>
      </c>
      <c r="D9" s="8"/>
      <c r="E9" s="8"/>
      <c r="F9" s="5">
        <v>329.156</v>
      </c>
      <c r="G9" s="5">
        <f>242.5+70.812</f>
        <v>313.312</v>
      </c>
      <c r="H9" s="5">
        <f>6.39</f>
        <v>6.39</v>
      </c>
      <c r="I9" s="7">
        <f t="shared" si="0"/>
        <v>9.453999999999994</v>
      </c>
      <c r="J9" s="6">
        <f t="shared" si="1"/>
        <v>0.002671829075288264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612.356</v>
      </c>
      <c r="G10" s="5">
        <f>443+142.138+4.61</f>
        <v>589.748</v>
      </c>
      <c r="H10" s="5">
        <v>0</v>
      </c>
      <c r="I10" s="7">
        <v>0</v>
      </c>
      <c r="J10" s="6">
        <f t="shared" si="1"/>
        <v>0</v>
      </c>
    </row>
    <row r="11" spans="1:10" ht="15">
      <c r="A11" s="36">
        <v>5</v>
      </c>
      <c r="B11" s="3" t="s">
        <v>15</v>
      </c>
      <c r="C11" s="7"/>
      <c r="D11" s="11">
        <v>45110</v>
      </c>
      <c r="E11" s="11">
        <v>45470</v>
      </c>
      <c r="F11" s="6">
        <f>(E11-D11)*1</f>
        <v>360</v>
      </c>
      <c r="G11" s="7">
        <v>0</v>
      </c>
      <c r="H11" s="7">
        <v>0</v>
      </c>
      <c r="I11" s="7">
        <f t="shared" si="0"/>
        <v>360</v>
      </c>
      <c r="J11" s="6">
        <f t="shared" si="1"/>
        <v>0.10174089984173637</v>
      </c>
    </row>
    <row r="12" spans="1:10" ht="15">
      <c r="A12" s="37"/>
      <c r="B12" s="3" t="s">
        <v>16</v>
      </c>
      <c r="C12" s="7"/>
      <c r="D12" s="11">
        <v>23820</v>
      </c>
      <c r="E12" s="11">
        <v>23990</v>
      </c>
      <c r="F12" s="6">
        <f>(E12-D12)*1</f>
        <v>170</v>
      </c>
      <c r="G12" s="7">
        <v>0</v>
      </c>
      <c r="H12" s="7">
        <v>0</v>
      </c>
      <c r="I12" s="7">
        <f t="shared" si="0"/>
        <v>170</v>
      </c>
      <c r="J12" s="6">
        <f t="shared" si="1"/>
        <v>0.04804431381415329</v>
      </c>
    </row>
    <row r="13" spans="1:10" ht="15">
      <c r="A13" s="37"/>
      <c r="B13" s="3" t="s">
        <v>17</v>
      </c>
      <c r="C13" s="7"/>
      <c r="D13" s="11">
        <v>3412</v>
      </c>
      <c r="E13" s="11">
        <v>3425</v>
      </c>
      <c r="F13" s="6">
        <f>(E13-D13)*10</f>
        <v>130</v>
      </c>
      <c r="G13" s="7">
        <v>0</v>
      </c>
      <c r="H13" s="7">
        <v>0</v>
      </c>
      <c r="I13" s="7">
        <f t="shared" si="0"/>
        <v>130</v>
      </c>
      <c r="J13" s="6">
        <f t="shared" si="1"/>
        <v>0.03673976938729369</v>
      </c>
    </row>
    <row r="14" spans="1:10" ht="15">
      <c r="A14" s="37"/>
      <c r="B14" s="3" t="s">
        <v>18</v>
      </c>
      <c r="C14" s="7"/>
      <c r="D14" s="11">
        <v>3296</v>
      </c>
      <c r="E14" s="11">
        <v>3309</v>
      </c>
      <c r="F14" s="6">
        <f>(E14-D14)*10</f>
        <v>130</v>
      </c>
      <c r="G14" s="7">
        <v>0</v>
      </c>
      <c r="H14" s="7">
        <v>0</v>
      </c>
      <c r="I14" s="7">
        <f t="shared" si="0"/>
        <v>130</v>
      </c>
      <c r="J14" s="6">
        <f t="shared" si="1"/>
        <v>0.03673976938729369</v>
      </c>
    </row>
    <row r="15" spans="1:10" ht="15">
      <c r="A15" s="37"/>
      <c r="B15" s="3" t="s">
        <v>19</v>
      </c>
      <c r="C15" s="7"/>
      <c r="D15" s="11">
        <v>109420</v>
      </c>
      <c r="E15" s="11">
        <v>109960</v>
      </c>
      <c r="F15" s="6">
        <f>(E15-D15)*1</f>
        <v>540</v>
      </c>
      <c r="G15" s="7">
        <v>0</v>
      </c>
      <c r="H15" s="7">
        <v>0</v>
      </c>
      <c r="I15" s="7">
        <f t="shared" si="0"/>
        <v>540</v>
      </c>
      <c r="J15" s="6">
        <f t="shared" si="1"/>
        <v>0.15261134976260457</v>
      </c>
    </row>
    <row r="16" spans="1:10" ht="15">
      <c r="A16" s="37"/>
      <c r="B16" s="3" t="s">
        <v>20</v>
      </c>
      <c r="C16" s="7"/>
      <c r="D16" s="11">
        <v>100920</v>
      </c>
      <c r="E16" s="11">
        <v>101550</v>
      </c>
      <c r="F16" s="6">
        <f>(E16-D16)*1</f>
        <v>630</v>
      </c>
      <c r="G16" s="7">
        <v>0</v>
      </c>
      <c r="H16" s="7">
        <v>0</v>
      </c>
      <c r="I16" s="7">
        <f t="shared" si="0"/>
        <v>630</v>
      </c>
      <c r="J16" s="6">
        <f t="shared" si="1"/>
        <v>0.17804657472303867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1960</v>
      </c>
      <c r="G17" s="14">
        <f>SUM(G11:G16)</f>
        <v>0</v>
      </c>
      <c r="H17" s="17">
        <v>0</v>
      </c>
      <c r="I17" s="14">
        <f>SUM(I11:I16)</f>
        <v>1960</v>
      </c>
      <c r="J17" s="6">
        <f t="shared" si="1"/>
        <v>0.5539226769161203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1030</v>
      </c>
      <c r="G18" s="16">
        <f t="shared" si="2"/>
        <v>0</v>
      </c>
      <c r="H18" s="16">
        <f t="shared" si="2"/>
        <v>0</v>
      </c>
      <c r="I18" s="16">
        <f t="shared" si="2"/>
        <v>1030</v>
      </c>
      <c r="J18" s="6">
        <f t="shared" si="1"/>
        <v>0.2910920189916346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930</v>
      </c>
      <c r="G19" s="15">
        <f t="shared" si="2"/>
        <v>0</v>
      </c>
      <c r="H19" s="15">
        <f t="shared" si="2"/>
        <v>0</v>
      </c>
      <c r="I19" s="15">
        <f t="shared" si="2"/>
        <v>930</v>
      </c>
      <c r="J19" s="6">
        <f t="shared" si="1"/>
        <v>0.2628306579244856</v>
      </c>
    </row>
  </sheetData>
  <sheetProtection/>
  <mergeCells count="11"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37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4">
        <f>16.22+0.43</f>
        <v>16.65</v>
      </c>
      <c r="G7" s="24">
        <f>G8*0.0478</f>
        <v>11.707176</v>
      </c>
      <c r="H7" s="20">
        <f>0.43</f>
        <v>0.43</v>
      </c>
      <c r="I7" s="7">
        <f>I8*0.0478</f>
        <v>0.5067756</v>
      </c>
      <c r="J7" s="6">
        <f aca="true" t="shared" si="0" ref="J7:J19">I7/3538.4</f>
        <v>0.0001432216821162107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340.7+9.67</f>
        <v>350.37</v>
      </c>
      <c r="G8" s="5">
        <f>208.52+36.4</f>
        <v>244.92000000000002</v>
      </c>
      <c r="H8" s="5">
        <f>9.67</f>
        <v>9.67</v>
      </c>
      <c r="I8" s="7">
        <v>10.602</v>
      </c>
      <c r="J8" s="6">
        <f t="shared" si="0"/>
        <v>0.002996269500339136</v>
      </c>
    </row>
    <row r="9" spans="1:10" ht="15">
      <c r="A9" s="2">
        <v>3</v>
      </c>
      <c r="B9" s="3" t="s">
        <v>21</v>
      </c>
      <c r="C9" s="7" t="s">
        <v>38</v>
      </c>
      <c r="D9" s="8"/>
      <c r="E9" s="8"/>
      <c r="F9" s="5">
        <f>53.081+265.405</f>
        <v>318.486</v>
      </c>
      <c r="G9" s="5">
        <f>242.5+72.89+5.02</f>
        <v>320.40999999999997</v>
      </c>
      <c r="H9" s="5">
        <v>0</v>
      </c>
      <c r="I9" s="7">
        <f>F9-G9-H9</f>
        <v>-1.9239999999999782</v>
      </c>
      <c r="J9" s="6">
        <f t="shared" si="0"/>
        <v>-0.0005437485869319405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668.856</v>
      </c>
      <c r="G10" s="5">
        <f>443+112.73+9.6</f>
        <v>565.33</v>
      </c>
      <c r="H10" s="5">
        <f>H8+H9</f>
        <v>9.67</v>
      </c>
      <c r="I10" s="7">
        <v>0</v>
      </c>
      <c r="J10" s="6">
        <f t="shared" si="0"/>
        <v>0</v>
      </c>
    </row>
    <row r="11" spans="1:10" ht="15">
      <c r="A11" s="36">
        <v>5</v>
      </c>
      <c r="B11" s="3" t="s">
        <v>15</v>
      </c>
      <c r="C11" s="7"/>
      <c r="D11" s="11">
        <v>45470</v>
      </c>
      <c r="E11" s="11">
        <v>45760</v>
      </c>
      <c r="F11" s="6">
        <f>(E11-D11)*1</f>
        <v>290</v>
      </c>
      <c r="G11" s="7">
        <v>0</v>
      </c>
      <c r="H11" s="7">
        <v>0</v>
      </c>
      <c r="I11" s="7">
        <f aca="true" t="shared" si="1" ref="I11:I16">F11-G11-H11</f>
        <v>290</v>
      </c>
      <c r="J11" s="6">
        <f t="shared" si="0"/>
        <v>0.08195794709473209</v>
      </c>
    </row>
    <row r="12" spans="1:10" ht="15">
      <c r="A12" s="37"/>
      <c r="B12" s="3" t="s">
        <v>16</v>
      </c>
      <c r="C12" s="7"/>
      <c r="D12" s="11">
        <v>23990</v>
      </c>
      <c r="E12" s="11">
        <v>24170</v>
      </c>
      <c r="F12" s="6">
        <f>(E12-D12)*1</f>
        <v>180</v>
      </c>
      <c r="G12" s="7">
        <v>0</v>
      </c>
      <c r="H12" s="7">
        <v>0</v>
      </c>
      <c r="I12" s="7">
        <f t="shared" si="1"/>
        <v>180</v>
      </c>
      <c r="J12" s="6">
        <f t="shared" si="0"/>
        <v>0.050870449920868185</v>
      </c>
    </row>
    <row r="13" spans="1:10" ht="15">
      <c r="A13" s="37"/>
      <c r="B13" s="3" t="s">
        <v>17</v>
      </c>
      <c r="C13" s="7"/>
      <c r="D13" s="11">
        <v>3425</v>
      </c>
      <c r="E13" s="11">
        <v>3435</v>
      </c>
      <c r="F13" s="6">
        <f>(E13-D13)*10</f>
        <v>100</v>
      </c>
      <c r="G13" s="7">
        <v>0</v>
      </c>
      <c r="H13" s="7">
        <v>0</v>
      </c>
      <c r="I13" s="7">
        <f t="shared" si="1"/>
        <v>100</v>
      </c>
      <c r="J13" s="6">
        <f t="shared" si="0"/>
        <v>0.028261361067148993</v>
      </c>
    </row>
    <row r="14" spans="1:10" ht="15">
      <c r="A14" s="37"/>
      <c r="B14" s="3" t="s">
        <v>18</v>
      </c>
      <c r="C14" s="7"/>
      <c r="D14" s="11">
        <v>3309</v>
      </c>
      <c r="E14" s="11">
        <v>3319</v>
      </c>
      <c r="F14" s="6">
        <f>(E14-D14)*10</f>
        <v>100</v>
      </c>
      <c r="G14" s="7">
        <v>0</v>
      </c>
      <c r="H14" s="7">
        <v>0</v>
      </c>
      <c r="I14" s="7">
        <f t="shared" si="1"/>
        <v>100</v>
      </c>
      <c r="J14" s="6">
        <f t="shared" si="0"/>
        <v>0.028261361067148993</v>
      </c>
    </row>
    <row r="15" spans="1:10" ht="15">
      <c r="A15" s="37"/>
      <c r="B15" s="3" t="s">
        <v>19</v>
      </c>
      <c r="C15" s="7"/>
      <c r="D15" s="11">
        <v>109960</v>
      </c>
      <c r="E15" s="11">
        <v>110540</v>
      </c>
      <c r="F15" s="6">
        <f>(E15-D15)*1</f>
        <v>580</v>
      </c>
      <c r="G15" s="7">
        <v>0</v>
      </c>
      <c r="H15" s="7">
        <v>0</v>
      </c>
      <c r="I15" s="7">
        <f t="shared" si="1"/>
        <v>580</v>
      </c>
      <c r="J15" s="6">
        <f t="shared" si="0"/>
        <v>0.16391589418946417</v>
      </c>
    </row>
    <row r="16" spans="1:10" ht="15">
      <c r="A16" s="37"/>
      <c r="B16" s="3" t="s">
        <v>20</v>
      </c>
      <c r="C16" s="7"/>
      <c r="D16" s="11">
        <v>101550</v>
      </c>
      <c r="E16" s="11">
        <v>102240</v>
      </c>
      <c r="F16" s="6">
        <f>(E16-D16)*1</f>
        <v>690</v>
      </c>
      <c r="G16" s="7">
        <v>0</v>
      </c>
      <c r="H16" s="7">
        <v>0</v>
      </c>
      <c r="I16" s="7">
        <f t="shared" si="1"/>
        <v>690</v>
      </c>
      <c r="J16" s="6">
        <f t="shared" si="0"/>
        <v>0.19500339136332806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1940</v>
      </c>
      <c r="G17" s="14">
        <f>SUM(G11:G16)</f>
        <v>0</v>
      </c>
      <c r="H17" s="17">
        <v>0</v>
      </c>
      <c r="I17" s="14">
        <f>SUM(I11:I16)</f>
        <v>1940</v>
      </c>
      <c r="J17" s="6">
        <f t="shared" si="0"/>
        <v>0.5482704047026905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970</v>
      </c>
      <c r="G18" s="16">
        <f t="shared" si="2"/>
        <v>0</v>
      </c>
      <c r="H18" s="16">
        <f t="shared" si="2"/>
        <v>0</v>
      </c>
      <c r="I18" s="16">
        <f t="shared" si="2"/>
        <v>970</v>
      </c>
      <c r="J18" s="6">
        <f t="shared" si="0"/>
        <v>0.27413520235134525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970</v>
      </c>
      <c r="G19" s="15">
        <f t="shared" si="2"/>
        <v>0</v>
      </c>
      <c r="H19" s="15">
        <f t="shared" si="2"/>
        <v>0</v>
      </c>
      <c r="I19" s="15">
        <f t="shared" si="2"/>
        <v>970</v>
      </c>
      <c r="J19" s="6">
        <f t="shared" si="0"/>
        <v>0.27413520235134525</v>
      </c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9" sqref="F9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39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4">
        <f>16.23+0.44</f>
        <v>16.67</v>
      </c>
      <c r="G7" s="24">
        <f>G8*0.0478</f>
        <v>8.115962000000001</v>
      </c>
      <c r="H7" s="20">
        <f>0.44</f>
        <v>0.44</v>
      </c>
      <c r="I7" s="24">
        <f>I8*0.0478</f>
        <v>0.50678994</v>
      </c>
      <c r="J7" s="6">
        <f aca="true" t="shared" si="0" ref="J7:J19">I7/3538.4</f>
        <v>0.00014322573479538773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340.7+9.67</f>
        <v>350.37</v>
      </c>
      <c r="G8" s="5">
        <f>208.52-38.73</f>
        <v>169.79000000000002</v>
      </c>
      <c r="H8" s="5">
        <f>9.67</f>
        <v>9.67</v>
      </c>
      <c r="I8" s="7">
        <v>10.6023</v>
      </c>
      <c r="J8" s="6">
        <f t="shared" si="0"/>
        <v>0.002996354284422338</v>
      </c>
    </row>
    <row r="9" spans="1:10" ht="15">
      <c r="A9" s="2">
        <v>3</v>
      </c>
      <c r="B9" s="3" t="s">
        <v>21</v>
      </c>
      <c r="C9" s="7" t="s">
        <v>40</v>
      </c>
      <c r="D9" s="8"/>
      <c r="E9" s="8"/>
      <c r="F9" s="5">
        <v>338.636</v>
      </c>
      <c r="G9" s="5">
        <f>242.5+62.38</f>
        <v>304.88</v>
      </c>
      <c r="H9" s="5">
        <v>0</v>
      </c>
      <c r="I9" s="7">
        <v>10.6023</v>
      </c>
      <c r="J9" s="6">
        <f t="shared" si="0"/>
        <v>0.002996354284422338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689.0060000000001</v>
      </c>
      <c r="G10" s="5">
        <f>443+21.17+10.5</f>
        <v>474.67</v>
      </c>
      <c r="H10" s="5">
        <f>H8+H9</f>
        <v>9.67</v>
      </c>
      <c r="I10" s="7">
        <v>0</v>
      </c>
      <c r="J10" s="6">
        <f t="shared" si="0"/>
        <v>0</v>
      </c>
    </row>
    <row r="11" spans="1:10" ht="15">
      <c r="A11" s="36">
        <v>5</v>
      </c>
      <c r="B11" s="3" t="s">
        <v>15</v>
      </c>
      <c r="C11" s="7"/>
      <c r="D11" s="11">
        <v>45760</v>
      </c>
      <c r="E11" s="11">
        <v>46030</v>
      </c>
      <c r="F11" s="6">
        <f>(E11-D11)*1</f>
        <v>270</v>
      </c>
      <c r="G11" s="7">
        <v>0</v>
      </c>
      <c r="H11" s="7">
        <v>0</v>
      </c>
      <c r="I11" s="7">
        <f aca="true" t="shared" si="1" ref="I11:I16">F11-G11-H11</f>
        <v>270</v>
      </c>
      <c r="J11" s="6">
        <f t="shared" si="0"/>
        <v>0.07630567488130229</v>
      </c>
    </row>
    <row r="12" spans="1:10" ht="15">
      <c r="A12" s="37"/>
      <c r="B12" s="3" t="s">
        <v>16</v>
      </c>
      <c r="C12" s="7"/>
      <c r="D12" s="11">
        <v>24170</v>
      </c>
      <c r="E12" s="11">
        <v>24350</v>
      </c>
      <c r="F12" s="6">
        <f>(E12-D12)*1</f>
        <v>180</v>
      </c>
      <c r="G12" s="7">
        <v>0</v>
      </c>
      <c r="H12" s="7">
        <v>0</v>
      </c>
      <c r="I12" s="7">
        <f t="shared" si="1"/>
        <v>180</v>
      </c>
      <c r="J12" s="6">
        <f t="shared" si="0"/>
        <v>0.050870449920868185</v>
      </c>
    </row>
    <row r="13" spans="1:10" ht="15">
      <c r="A13" s="37"/>
      <c r="B13" s="3" t="s">
        <v>17</v>
      </c>
      <c r="C13" s="7"/>
      <c r="D13" s="11">
        <v>3435</v>
      </c>
      <c r="E13" s="11">
        <v>3450</v>
      </c>
      <c r="F13" s="6">
        <f>(E13-D13)*10</f>
        <v>150</v>
      </c>
      <c r="G13" s="7">
        <v>0</v>
      </c>
      <c r="H13" s="7">
        <v>0</v>
      </c>
      <c r="I13" s="7">
        <f t="shared" si="1"/>
        <v>150</v>
      </c>
      <c r="J13" s="6">
        <f t="shared" si="0"/>
        <v>0.04239204160072349</v>
      </c>
    </row>
    <row r="14" spans="1:10" ht="15">
      <c r="A14" s="37"/>
      <c r="B14" s="3" t="s">
        <v>18</v>
      </c>
      <c r="C14" s="7"/>
      <c r="D14" s="11">
        <v>3319</v>
      </c>
      <c r="E14" s="11">
        <v>3330</v>
      </c>
      <c r="F14" s="6">
        <f>(E14-D14)*10</f>
        <v>110</v>
      </c>
      <c r="G14" s="7">
        <v>0</v>
      </c>
      <c r="H14" s="7">
        <v>0</v>
      </c>
      <c r="I14" s="7">
        <f t="shared" si="1"/>
        <v>110</v>
      </c>
      <c r="J14" s="6">
        <f t="shared" si="0"/>
        <v>0.031087497173863894</v>
      </c>
    </row>
    <row r="15" spans="1:10" ht="15">
      <c r="A15" s="37"/>
      <c r="B15" s="3" t="s">
        <v>19</v>
      </c>
      <c r="C15" s="7"/>
      <c r="D15" s="11">
        <v>110540</v>
      </c>
      <c r="E15" s="11">
        <v>111111</v>
      </c>
      <c r="F15" s="6">
        <f>(E15-D15)*1</f>
        <v>571</v>
      </c>
      <c r="G15" s="7">
        <v>0</v>
      </c>
      <c r="H15" s="7">
        <v>0</v>
      </c>
      <c r="I15" s="7">
        <f t="shared" si="1"/>
        <v>571</v>
      </c>
      <c r="J15" s="6">
        <f t="shared" si="0"/>
        <v>0.16137237169342075</v>
      </c>
    </row>
    <row r="16" spans="1:10" ht="15">
      <c r="A16" s="37"/>
      <c r="B16" s="3" t="s">
        <v>20</v>
      </c>
      <c r="C16" s="7"/>
      <c r="D16" s="11">
        <v>102240</v>
      </c>
      <c r="E16" s="11">
        <v>102930</v>
      </c>
      <c r="F16" s="6">
        <f>(E16-D16)*1</f>
        <v>690</v>
      </c>
      <c r="G16" s="7">
        <v>0</v>
      </c>
      <c r="H16" s="7">
        <v>0</v>
      </c>
      <c r="I16" s="7">
        <f t="shared" si="1"/>
        <v>690</v>
      </c>
      <c r="J16" s="6">
        <f t="shared" si="0"/>
        <v>0.19500339136332806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1971</v>
      </c>
      <c r="G17" s="14">
        <f>SUM(G11:G16)</f>
        <v>0</v>
      </c>
      <c r="H17" s="17">
        <v>0</v>
      </c>
      <c r="I17" s="14">
        <f>SUM(I11:I16)</f>
        <v>1971</v>
      </c>
      <c r="J17" s="6">
        <f t="shared" si="0"/>
        <v>0.5570314266335067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991</v>
      </c>
      <c r="G18" s="16">
        <f t="shared" si="2"/>
        <v>0</v>
      </c>
      <c r="H18" s="16">
        <f t="shared" si="2"/>
        <v>0</v>
      </c>
      <c r="I18" s="16">
        <f t="shared" si="2"/>
        <v>991</v>
      </c>
      <c r="J18" s="6">
        <f t="shared" si="0"/>
        <v>0.28007008817544654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980</v>
      </c>
      <c r="G19" s="15">
        <f t="shared" si="2"/>
        <v>0</v>
      </c>
      <c r="H19" s="15">
        <f t="shared" si="2"/>
        <v>0</v>
      </c>
      <c r="I19" s="15">
        <f t="shared" si="2"/>
        <v>980</v>
      </c>
      <c r="J19" s="6">
        <f t="shared" si="0"/>
        <v>0.27696133845806015</v>
      </c>
    </row>
  </sheetData>
  <sheetProtection/>
  <mergeCells count="11"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8.7109375" style="0" customWidth="1"/>
    <col min="4" max="4" width="16.421875" style="0" customWidth="1"/>
    <col min="5" max="5" width="16.140625" style="0" customWidth="1"/>
    <col min="6" max="6" width="15.140625" style="0" customWidth="1"/>
    <col min="7" max="7" width="16.7109375" style="0" customWidth="1"/>
    <col min="8" max="8" width="16.00390625" style="0" customWidth="1"/>
    <col min="9" max="9" width="13.7109375" style="0" customWidth="1"/>
    <col min="10" max="10" width="12.28125" style="0" customWidth="1"/>
    <col min="11" max="11" width="9.57421875" style="0" bestFit="1" customWidth="1"/>
  </cols>
  <sheetData>
    <row r="3" ht="15.75">
      <c r="C3" s="9" t="s">
        <v>41</v>
      </c>
    </row>
    <row r="4" spans="1:10" ht="1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79.5" customHeight="1">
      <c r="A5" s="30" t="s">
        <v>0</v>
      </c>
      <c r="B5" s="32" t="s">
        <v>1</v>
      </c>
      <c r="C5" s="30" t="s">
        <v>2</v>
      </c>
      <c r="D5" s="34" t="s">
        <v>7</v>
      </c>
      <c r="E5" s="35"/>
      <c r="F5" s="30" t="s">
        <v>11</v>
      </c>
      <c r="G5" s="30" t="s">
        <v>3</v>
      </c>
      <c r="H5" s="30" t="s">
        <v>4</v>
      </c>
      <c r="I5" s="30" t="s">
        <v>5</v>
      </c>
      <c r="J5" s="32" t="s">
        <v>6</v>
      </c>
    </row>
    <row r="6" spans="1:10" ht="15.75">
      <c r="A6" s="31"/>
      <c r="B6" s="33"/>
      <c r="C6" s="31"/>
      <c r="D6" s="10" t="s">
        <v>12</v>
      </c>
      <c r="E6" s="4" t="s">
        <v>13</v>
      </c>
      <c r="F6" s="31"/>
      <c r="G6" s="31"/>
      <c r="H6" s="31"/>
      <c r="I6" s="31"/>
      <c r="J6" s="33"/>
    </row>
    <row r="7" spans="1:12" ht="15">
      <c r="A7" s="20">
        <v>1</v>
      </c>
      <c r="B7" s="21" t="s">
        <v>31</v>
      </c>
      <c r="C7" s="20"/>
      <c r="D7" s="22"/>
      <c r="E7" s="23"/>
      <c r="F7" s="24">
        <f>27.95+0.58</f>
        <v>28.529999999999998</v>
      </c>
      <c r="G7" s="24">
        <f>G8*0.0478</f>
        <v>10.595826</v>
      </c>
      <c r="H7" s="20">
        <f>0.58</f>
        <v>0.58</v>
      </c>
      <c r="I7" s="7">
        <f>I8*0.0478</f>
        <v>0.5067756</v>
      </c>
      <c r="J7" s="6">
        <f aca="true" t="shared" si="0" ref="J7:J19">I7/3538.4</f>
        <v>0.0001432216821162107</v>
      </c>
      <c r="L7" s="18"/>
    </row>
    <row r="8" spans="1:10" ht="15">
      <c r="A8" s="2">
        <v>2</v>
      </c>
      <c r="B8" s="3" t="s">
        <v>9</v>
      </c>
      <c r="C8" s="6"/>
      <c r="D8" s="8"/>
      <c r="E8" s="8"/>
      <c r="F8" s="6">
        <f>340.7+9.36</f>
        <v>350.06</v>
      </c>
      <c r="G8" s="5">
        <f>208.52+13.15</f>
        <v>221.67000000000002</v>
      </c>
      <c r="H8" s="5">
        <f>9.36</f>
        <v>9.36</v>
      </c>
      <c r="I8" s="7">
        <f>10.602</f>
        <v>10.602</v>
      </c>
      <c r="J8" s="6">
        <f t="shared" si="0"/>
        <v>0.002996269500339136</v>
      </c>
    </row>
    <row r="9" spans="1:10" ht="15">
      <c r="A9" s="2">
        <v>3</v>
      </c>
      <c r="B9" s="3" t="s">
        <v>21</v>
      </c>
      <c r="C9" s="7" t="s">
        <v>42</v>
      </c>
      <c r="D9" s="8"/>
      <c r="E9" s="8"/>
      <c r="F9" s="5">
        <f>346.254</f>
        <v>346.254</v>
      </c>
      <c r="G9" s="5">
        <f>242.5+28.64</f>
        <v>271.14</v>
      </c>
      <c r="H9" s="5">
        <v>0</v>
      </c>
      <c r="I9" s="7">
        <f>10.602</f>
        <v>10.602</v>
      </c>
      <c r="J9" s="6">
        <f t="shared" si="0"/>
        <v>0.002996269500339136</v>
      </c>
    </row>
    <row r="10" spans="1:10" ht="15">
      <c r="A10" s="2">
        <v>4</v>
      </c>
      <c r="B10" s="3" t="s">
        <v>10</v>
      </c>
      <c r="C10" s="7"/>
      <c r="D10" s="8"/>
      <c r="E10" s="8"/>
      <c r="F10" s="5">
        <f>F8+F9</f>
        <v>696.3140000000001</v>
      </c>
      <c r="G10" s="5">
        <f>443+40.28+9.53</f>
        <v>492.80999999999995</v>
      </c>
      <c r="H10" s="5">
        <f>H8+H9</f>
        <v>9.36</v>
      </c>
      <c r="I10" s="7">
        <v>0</v>
      </c>
      <c r="J10" s="6">
        <f t="shared" si="0"/>
        <v>0</v>
      </c>
    </row>
    <row r="11" spans="1:10" ht="15">
      <c r="A11" s="36">
        <v>5</v>
      </c>
      <c r="B11" s="3" t="s">
        <v>15</v>
      </c>
      <c r="C11" s="7"/>
      <c r="D11" s="11">
        <v>46030</v>
      </c>
      <c r="E11" s="11">
        <v>46430</v>
      </c>
      <c r="F11" s="6">
        <f>(E11-D11)*1</f>
        <v>400</v>
      </c>
      <c r="G11" s="7">
        <v>0</v>
      </c>
      <c r="H11" s="7">
        <v>0</v>
      </c>
      <c r="I11" s="7">
        <f aca="true" t="shared" si="1" ref="I11:I16">F11-G11-H11</f>
        <v>400</v>
      </c>
      <c r="J11" s="6">
        <f t="shared" si="0"/>
        <v>0.11304544426859597</v>
      </c>
    </row>
    <row r="12" spans="1:10" ht="15">
      <c r="A12" s="37"/>
      <c r="B12" s="3" t="s">
        <v>16</v>
      </c>
      <c r="C12" s="7"/>
      <c r="D12" s="11">
        <v>24350</v>
      </c>
      <c r="E12" s="11">
        <v>24510</v>
      </c>
      <c r="F12" s="6">
        <f>(E12-D12)*1</f>
        <v>160</v>
      </c>
      <c r="G12" s="7">
        <v>0</v>
      </c>
      <c r="H12" s="7">
        <v>0</v>
      </c>
      <c r="I12" s="7">
        <f t="shared" si="1"/>
        <v>160</v>
      </c>
      <c r="J12" s="6">
        <f t="shared" si="0"/>
        <v>0.04521817770743839</v>
      </c>
    </row>
    <row r="13" spans="1:10" ht="15">
      <c r="A13" s="37"/>
      <c r="B13" s="3" t="s">
        <v>17</v>
      </c>
      <c r="C13" s="7"/>
      <c r="D13" s="11">
        <v>3450</v>
      </c>
      <c r="E13" s="11">
        <v>3460</v>
      </c>
      <c r="F13" s="6">
        <f>(E13-D13)*10</f>
        <v>100</v>
      </c>
      <c r="G13" s="7">
        <v>0</v>
      </c>
      <c r="H13" s="7">
        <v>0</v>
      </c>
      <c r="I13" s="7">
        <f t="shared" si="1"/>
        <v>100</v>
      </c>
      <c r="J13" s="6">
        <f t="shared" si="0"/>
        <v>0.028261361067148993</v>
      </c>
    </row>
    <row r="14" spans="1:10" ht="15">
      <c r="A14" s="37"/>
      <c r="B14" s="3" t="s">
        <v>18</v>
      </c>
      <c r="C14" s="7"/>
      <c r="D14" s="11">
        <v>3330</v>
      </c>
      <c r="E14" s="11">
        <v>3344</v>
      </c>
      <c r="F14" s="6">
        <f>(E14-D14)*10</f>
        <v>140</v>
      </c>
      <c r="G14" s="7">
        <v>0</v>
      </c>
      <c r="H14" s="7">
        <v>0</v>
      </c>
      <c r="I14" s="7">
        <f t="shared" si="1"/>
        <v>140</v>
      </c>
      <c r="J14" s="6">
        <f t="shared" si="0"/>
        <v>0.03956590549400859</v>
      </c>
    </row>
    <row r="15" spans="1:10" ht="15">
      <c r="A15" s="37"/>
      <c r="B15" s="3" t="s">
        <v>19</v>
      </c>
      <c r="C15" s="7"/>
      <c r="D15" s="11">
        <v>111111</v>
      </c>
      <c r="E15" s="11">
        <v>111500</v>
      </c>
      <c r="F15" s="6">
        <f>(E15-D15)*1</f>
        <v>389</v>
      </c>
      <c r="G15" s="7">
        <v>0</v>
      </c>
      <c r="H15" s="7">
        <v>0</v>
      </c>
      <c r="I15" s="7">
        <f t="shared" si="1"/>
        <v>389</v>
      </c>
      <c r="J15" s="6">
        <f t="shared" si="0"/>
        <v>0.10993669455120958</v>
      </c>
    </row>
    <row r="16" spans="1:10" ht="15">
      <c r="A16" s="37"/>
      <c r="B16" s="3" t="s">
        <v>20</v>
      </c>
      <c r="C16" s="7"/>
      <c r="D16" s="11">
        <v>102930</v>
      </c>
      <c r="E16" s="11">
        <v>103240</v>
      </c>
      <c r="F16" s="6">
        <f>(E16-D16)*1</f>
        <v>310</v>
      </c>
      <c r="G16" s="7">
        <v>0</v>
      </c>
      <c r="H16" s="7">
        <v>0</v>
      </c>
      <c r="I16" s="7">
        <f t="shared" si="1"/>
        <v>310</v>
      </c>
      <c r="J16" s="6">
        <f t="shared" si="0"/>
        <v>0.08761021930816187</v>
      </c>
    </row>
    <row r="17" spans="1:12" ht="15">
      <c r="A17" s="38"/>
      <c r="B17" s="12" t="s">
        <v>14</v>
      </c>
      <c r="C17" s="12"/>
      <c r="D17" s="13"/>
      <c r="E17" s="12"/>
      <c r="F17" s="14">
        <f>SUM(F11:F16)</f>
        <v>1499</v>
      </c>
      <c r="G17" s="14">
        <f>SUM(G11:G16)</f>
        <v>0</v>
      </c>
      <c r="H17" s="17">
        <v>0</v>
      </c>
      <c r="I17" s="14">
        <f>SUM(I11:I16)</f>
        <v>1499</v>
      </c>
      <c r="J17" s="6">
        <f t="shared" si="0"/>
        <v>0.4236378023965634</v>
      </c>
      <c r="K17" s="19"/>
      <c r="L17" s="18"/>
    </row>
    <row r="18" spans="1:12" ht="15">
      <c r="A18" s="1"/>
      <c r="B18" s="1"/>
      <c r="C18" s="1"/>
      <c r="D18" s="1"/>
      <c r="E18" s="1" t="s">
        <v>22</v>
      </c>
      <c r="F18" s="16">
        <f aca="true" t="shared" si="2" ref="F18:I19">F11+F13+F15</f>
        <v>889</v>
      </c>
      <c r="G18" s="16">
        <f t="shared" si="2"/>
        <v>0</v>
      </c>
      <c r="H18" s="16">
        <f t="shared" si="2"/>
        <v>0</v>
      </c>
      <c r="I18" s="16">
        <f t="shared" si="2"/>
        <v>889</v>
      </c>
      <c r="J18" s="6">
        <f t="shared" si="0"/>
        <v>0.25124349988695455</v>
      </c>
      <c r="K18" s="19"/>
      <c r="L18" s="18"/>
    </row>
    <row r="19" spans="1:10" ht="15">
      <c r="A19" s="1"/>
      <c r="B19" s="1"/>
      <c r="C19" s="1"/>
      <c r="D19" s="1"/>
      <c r="E19" s="1" t="s">
        <v>23</v>
      </c>
      <c r="F19" s="15">
        <f t="shared" si="2"/>
        <v>610</v>
      </c>
      <c r="G19" s="15">
        <f t="shared" si="2"/>
        <v>0</v>
      </c>
      <c r="H19" s="15">
        <f t="shared" si="2"/>
        <v>0</v>
      </c>
      <c r="I19" s="15">
        <f t="shared" si="2"/>
        <v>610</v>
      </c>
      <c r="J19" s="6">
        <f t="shared" si="0"/>
        <v>0.17239430250960885</v>
      </c>
    </row>
  </sheetData>
  <sheetProtection/>
  <mergeCells count="11">
    <mergeCell ref="H5:H6"/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2012-11-26T03:24:28Z</cp:lastPrinted>
  <dcterms:created xsi:type="dcterms:W3CDTF">2006-09-16T00:00:00Z</dcterms:created>
  <dcterms:modified xsi:type="dcterms:W3CDTF">2014-02-06T04:27:46Z</dcterms:modified>
  <cp:category/>
  <cp:version/>
  <cp:contentType/>
  <cp:contentStatus/>
</cp:coreProperties>
</file>