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10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АТСЖ на 25 октября 2014г подали в Энергоссбыт показания 13848 квт/ч, дневной тариф  </t>
        </r>
      </text>
    </comment>
    <comment ref="H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на 25.01.2015г показание подали 13680
</t>
        </r>
      </text>
    </comment>
    <comment ref="J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на 25.02.2015г. 13801кВт/ч
</t>
        </r>
      </text>
    </comment>
    <comment ref="R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14151квт/ч, а по акту обследования 14110,1 = 1203 квт/ч за 4 дня за 26 дней предъявлено расчетным путем= 2300квт/ч поставщик предъявил. </t>
        </r>
      </text>
    </comment>
    <comment ref="T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14232, а поставщик предъявил расчетным путем на 37 кВт/ч меньше.
</t>
        </r>
      </text>
    </comment>
    <comment ref="V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передали14274, а поставщик предъявил расчетным путем, меньше 109 квт/ч. по акту обследования счетчик не рабртает и  заменен на новый.</t>
        </r>
      </text>
    </comment>
    <comment ref="R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покзания передали 12165, а по акту обследования 12134 = 1050 квт/ч за 4 дня и расчетным путем 1675 квт/ч за 26 дней поставщик предъявил.</t>
        </r>
      </text>
    </comment>
    <comment ref="T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12234, а поставщик предъявил расчетным путем на 184 кВт/ч меньше.
</t>
        </r>
      </text>
    </comment>
    <comment ref="V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12265, а поставщик предъявил расчетным путем больше, т.к был акт обследования.</t>
        </r>
      </text>
    </comment>
    <comment ref="R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1820, а по акту обследования 1887,3= 1089 квт/ч за 4 дня и за 26 дней расчетным путем 1700 квт/ч поставщик предъявил</t>
        </r>
      </text>
    </comment>
    <comment ref="T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1986, а поставщик предъявил расчетным путем на 79 кВт/ч меньше.
</t>
        </r>
      </text>
    </comment>
    <comment ref="V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2058, а предъявили расчетным путем, был акт обследования</t>
        </r>
      </text>
    </comment>
    <comment ref="R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1864, а по акту обследования 1829,2 =  996 квт/ч за 26 дней расчетным путем 1750 квт/ч предъявил поставщик.</t>
        </r>
      </text>
    </comment>
    <comment ref="T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1931, а поставщик предъявил расчетным путем на 216 кВт/ч меньше.</t>
        </r>
      </text>
    </comment>
    <comment ref="V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1993, а расчитано расчетным путем был акт обследования.
</t>
        </r>
      </text>
    </comment>
    <comment ref="R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16999. а по акту обследования 16951,4 за 4 дня = 1542 квт/ч и за 26 дней 2600 квт/ч предъявил поставщик</t>
        </r>
      </text>
    </comment>
    <comment ref="T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17091, а поставщик предъявил расчетным путем на 92 кВт/ч больше.
</t>
        </r>
      </text>
    </comment>
    <comment ref="V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17139, а поставщик предъявил расчетным путем, т.к был акт обследования.</t>
        </r>
      </text>
    </comment>
    <comment ref="R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14374, а по акту обследования 14334,1 =1263 квт/ч и расчетным путем =2050 квт/ч предъявлено поставщиком.</t>
        </r>
      </text>
    </comment>
    <comment ref="T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14463, а поставщик предъявил расчетным путем на 444 кВт/ч меньше.</t>
        </r>
      </text>
    </comment>
    <comment ref="V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14503, а поставщик предъявил расчетным путем, был акт обследования.</t>
        </r>
      </text>
    </comment>
    <comment ref="R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9950, а по акту обследования 9923,7 =891 квт/ч и расчетным путем 1550 квт/ч предъявил поставщик.</t>
        </r>
      </text>
    </comment>
    <comment ref="T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10003, а поставщик предъявил расчетным путем на 143 кВт/ч больше
</t>
        </r>
      </text>
    </comment>
    <comment ref="V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10035, а поставщик предъявил расчетным путем, был акт обследования.</t>
        </r>
      </text>
    </comment>
    <comment ref="R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8306, а по акту обследования 8283,2 и расчетным путем = 1200квт/ч предъявил поставщик.</t>
        </r>
      </text>
    </comment>
    <comment ref="T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8354,а поставщик предъявил расчетным путем на 134 кВт/ч меньше.</t>
        </r>
      </text>
    </comment>
    <comment ref="V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8376, а поставщик предъявил расчетным путем, был акт обследования.</t>
        </r>
      </text>
    </comment>
    <comment ref="R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4322, а по акту обследования 4309,8 = 162 квт/ч и расчетным путем 325 квт/ч поставщик предъявил.</t>
        </r>
      </text>
    </comment>
    <comment ref="T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4349, а поставщик предъявил расчетным путем на 85 кВт/ч меньше.</t>
        </r>
      </text>
    </comment>
    <comment ref="V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4360, а поставщик предъявил расчетным путем, был акт обследования.</t>
        </r>
      </text>
    </comment>
    <comment ref="R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5216, а по акту обследования 5199,8 =207 квт/ч и расчетным путем = 375 квт/ч предъявил поставщик.</t>
        </r>
      </text>
    </comment>
    <comment ref="T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 передали 5250, а поставщик предъявил расчетным путем на 152 кВт/ч меньше.</t>
        </r>
      </text>
    </comment>
    <comment ref="V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5260, а поставщик предъявил расчетным путем, был акт обследования.</t>
        </r>
      </text>
    </comment>
    <comment ref="R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2340, а по акту обследования 2335,4 = 81 квт/ч и расчетным путем 125 квт/ч поставщик предъявил. </t>
        </r>
      </text>
    </comment>
    <comment ref="T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2350, а поставщик предъявил расчетным путем на 6 кВт/ч меньше.
</t>
        </r>
      </text>
    </comment>
    <comment ref="V3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2355, а поставщик предъявил расчетным путем, был акт обследования.</t>
        </r>
      </text>
    </comment>
    <comment ref="R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3106, а по акту обследования 3099,6 = 114 квт/ч и расчетным путем 162,5 квт/ч предъявил поставщик.</t>
        </r>
      </text>
    </comment>
    <comment ref="T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3121, а поставщик предъявил расчетным путем на 33 кВт/ч меньше.</t>
        </r>
      </text>
    </comment>
    <comment ref="V3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3128, поставщик предъявил расчетным путем, был акт обследования.</t>
        </r>
      </text>
    </comment>
    <comment ref="R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16395, а по акту обследования 16345,2 и расчетным путем 3567 квт/ч поставщик предъявил.</t>
        </r>
      </text>
    </comment>
    <comment ref="T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16497, а поставщик предъявили расчетным путем 188 кВт/ч меньше.
</t>
        </r>
      </text>
    </comment>
    <comment ref="V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16578, а поставщик предъявил расчетным путем, был акт обследования.</t>
        </r>
      </text>
    </comment>
    <comment ref="R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14532, а по акту обследования 14483,8 = 2072 квт/ч и расчетным путем 3433 квт/ч поставщик предъявил.</t>
        </r>
      </text>
    </comment>
    <comment ref="T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14640, поставщик предъявил расчетным путем, на 559 кВт/ч меньше.
</t>
        </r>
      </text>
    </comment>
    <comment ref="V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14711, а поставщик предъявил расчетным путем, был акт обследования.</t>
        </r>
      </text>
    </comment>
    <comment ref="R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12423, а по акту обследования 12388,1 = 1604 квт/ч и расчетным путем 2700 квт/ч предъявил поставщик.</t>
        </r>
      </text>
    </comment>
    <comment ref="T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12489, а 
поставщик предъявил расчетным путем на 412 кВт/ч больше.</t>
        </r>
      </text>
    </comment>
    <comment ref="V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12543, а поставщик предъявил расчетным путем, был акт обследования.</t>
        </r>
      </text>
    </comment>
    <comment ref="R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9372,а по акту обследования 9347,2 = 1128 квт/ч и расчетным путем =1900 квт/ч поставщик предъявил.</t>
        </r>
      </text>
    </comment>
    <comment ref="T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9427, поставщик предъявил на 63 кВт/ч меньше.
</t>
        </r>
      </text>
    </comment>
    <comment ref="V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9459, а поставщик предъявил расчетным путем, был акт обследования.</t>
        </r>
      </text>
    </comment>
    <comment ref="R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92159, а по акту обследования 91979 = 177 квт/ч и расчетным путем 325 квт/ч предъявил поставщик.</t>
        </r>
      </text>
    </comment>
    <comment ref="T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92517, а поставщик предъявил рас четным путем на 19 кВт/ч меньше.</t>
        </r>
      </text>
    </comment>
    <comment ref="V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92821, а поставщик предъявил расчетным путем, был акт обследования.</t>
        </r>
      </text>
    </comment>
    <comment ref="R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102960, а поакту обследования 102718 = 236 квт/ч ирасчетным путем = 442 квт/ч предъявил поставщик.</t>
        </r>
      </text>
    </comment>
    <comment ref="T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103481, поставщик предъявил расчетным путем на 63 квт/ч. меньше.</t>
        </r>
      </text>
    </comment>
    <comment ref="V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103910, поставщик предъявил расчетным путем, был акт обследования.</t>
        </r>
      </text>
    </comment>
    <comment ref="R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10048, а по акту обследования за 4 дня 10048,6 = 6 квт/ч и расчетным путем  о квт/ч поставщик предъявил за 26 дней.</t>
        </r>
      </text>
    </comment>
    <comment ref="T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10049, а поставщик предъявил расчетным путем на 2 кВт/ч больше.</t>
        </r>
      </text>
    </comment>
    <comment ref="V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10050, а поставщик предъявил расчетным путем, был акт обследования.</t>
        </r>
      </text>
    </comment>
    <comment ref="R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10771, апо акту обследования 10744,3 = 293 квт/ч  за 4 дня и расчет путем поставщик предъявил за 26 дней = 442 квт/ч.</t>
        </r>
      </text>
    </comment>
    <comment ref="T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показания передали 10830, поставщик передъявил на 98 квт/ч меньше.</t>
        </r>
      </text>
    </comment>
    <comment ref="Y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поставщик предъявил на 643 квт/ч больше
</t>
        </r>
      </text>
    </comment>
    <comment ref="Y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поставщик предъявил на 762 квт/ч больше.
</t>
        </r>
      </text>
    </comment>
    <comment ref="Z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день 218 квт/ч, апоставщик предъявил по ночному 184 квт/ч
</t>
        </r>
      </text>
    </comment>
    <comment ref="Z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ночь 184 квт/ч, а поставщик предъявил по дненому 218 квт/ч.
</t>
        </r>
      </text>
    </comment>
    <comment ref="Z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день 68 квт/ч,а поставщик предъявил по  показаниям ночи 77 квт/ч.
</t>
        </r>
      </text>
    </comment>
    <comment ref="Z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ночь  77 квт/ч, а поставщик предъявил по дневным показаниям 68 квт/ч.</t>
        </r>
      </text>
    </comment>
    <comment ref="Z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день 263 квт/ч, а поставщик предъвил по ночным 266 квт/ч.</t>
        </r>
      </text>
    </comment>
    <comment ref="Z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ночь 266 квт/ч, а поставщик предъявил по дневным 263 квт/ч.
</t>
        </r>
      </text>
    </comment>
  </commentList>
</comments>
</file>

<file path=xl/sharedStrings.xml><?xml version="1.0" encoding="utf-8"?>
<sst xmlns="http://schemas.openxmlformats.org/spreadsheetml/2006/main" count="122" uniqueCount="41">
  <si>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</si>
  <si>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</si>
  <si>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</si>
  <si>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</si>
  <si>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</si>
  <si>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</si>
  <si>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</si>
  <si>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</si>
  <si>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</si>
  <si>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</si>
  <si>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</si>
  <si>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</si>
  <si>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</si>
  <si>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</si>
  <si>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</si>
  <si>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</si>
  <si>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</si>
  <si>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</si>
  <si>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</si>
  <si>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</si>
  <si>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дымоудаление</t>
  </si>
  <si>
    <t>освещение</t>
  </si>
  <si>
    <t>Итого</t>
  </si>
  <si>
    <t>Репина 101</t>
  </si>
  <si>
    <t>Фактич. потреб-е июнь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</si>
  <si>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</si>
  <si>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</si>
  <si>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</si>
  <si>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</si>
  <si>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</si>
  <si>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</si>
  <si>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</si>
  <si>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</si>
  <si>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</si>
  <si>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</si>
  <si>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</si>
  <si>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</si>
  <si>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</si>
  <si>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</si>
  <si>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</si>
  <si>
    <t>Заменен на новый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</si>
</sst>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1" fontId="0" fillId="0" borderId="10" xfId="0" applyNumberFormat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1" fontId="1" fillId="24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73" fontId="1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" borderId="10" xfId="0" applyFill="1" applyBorder="1" applyAlignment="1">
      <alignment/>
    </xf>
    <xf numFmtId="2" fontId="0" fillId="25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1" fontId="0" fillId="25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1" fontId="0" fillId="7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"/>
  <sheetViews>
    <sheetView tabSelected="1" zoomScalePageLayoutView="0" workbookViewId="0" topLeftCell="A1">
      <pane xSplit="13" ySplit="1" topLeftCell="X32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E1" sqref="AE1"/>
    </sheetView>
  </sheetViews>
  <sheetFormatPr defaultColWidth="9.140625" defaultRowHeight="15"/>
  <cols>
    <col min="2" max="2" width="3.57421875" style="0" customWidth="1"/>
    <col min="4" max="4" width="15.8515625" style="0" customWidth="1"/>
    <col min="6" max="6" width="5.00390625" style="0" customWidth="1"/>
    <col min="7" max="8" width="9.140625" style="0" hidden="1" customWidth="1"/>
    <col min="9" max="9" width="9.57421875" style="0" hidden="1" customWidth="1"/>
    <col min="10" max="10" width="9.140625" style="0" hidden="1" customWidth="1"/>
    <col min="11" max="11" width="9.5742187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7109375" style="0" hidden="1" customWidth="1"/>
    <col min="16" max="16" width="0" style="0" hidden="1" customWidth="1"/>
    <col min="17" max="17" width="9.7109375" style="0" customWidth="1"/>
    <col min="19" max="19" width="10.140625" style="0" customWidth="1"/>
    <col min="20" max="20" width="12.57421875" style="0" customWidth="1"/>
    <col min="21" max="21" width="9.7109375" style="0" customWidth="1"/>
    <col min="23" max="23" width="9.421875" style="0" customWidth="1"/>
    <col min="25" max="25" width="12.421875" style="0" customWidth="1"/>
    <col min="27" max="27" width="11.28125" style="0" customWidth="1"/>
    <col min="29" max="29" width="9.57421875" style="0" customWidth="1"/>
    <col min="31" max="31" width="9.7109375" style="0" customWidth="1"/>
  </cols>
  <sheetData>
    <row r="1" spans="1:9" ht="15.75">
      <c r="A1" s="13" t="s">
        <v>26</v>
      </c>
      <c r="B1" s="13"/>
      <c r="C1" s="10"/>
      <c r="D1" s="12"/>
      <c r="E1" s="10"/>
      <c r="F1" s="10"/>
      <c r="G1" s="10"/>
      <c r="H1" s="10"/>
      <c r="I1" s="10"/>
    </row>
    <row r="2" spans="1:25" ht="15">
      <c r="A2" s="11"/>
      <c r="B2" s="11"/>
      <c r="C2" s="11"/>
      <c r="D2" s="11"/>
      <c r="E2" s="11"/>
      <c r="F2" s="11"/>
      <c r="G2" s="11"/>
      <c r="H2" s="11"/>
      <c r="I2" s="11"/>
      <c r="V2" s="22"/>
      <c r="W2" s="22"/>
      <c r="X2" s="23"/>
      <c r="Y2" s="24"/>
    </row>
    <row r="3" spans="1:31" ht="409.5">
      <c r="A3" s="2" t="s">
        <v>0</v>
      </c>
      <c r="B3" s="16" t="s">
        <v>39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25</v>
      </c>
      <c r="H3" s="3" t="s">
        <v>27</v>
      </c>
      <c r="I3" s="7" t="s">
        <v>5</v>
      </c>
      <c r="J3" s="3" t="s">
        <v>28</v>
      </c>
      <c r="K3" s="7" t="s">
        <v>6</v>
      </c>
      <c r="L3" s="3" t="s">
        <v>29</v>
      </c>
      <c r="M3" s="7" t="s">
        <v>7</v>
      </c>
      <c r="N3" s="3" t="s">
        <v>30</v>
      </c>
      <c r="O3" s="7" t="s">
        <v>8</v>
      </c>
      <c r="P3" s="3" t="s">
        <v>31</v>
      </c>
      <c r="Q3" s="7" t="s">
        <v>9</v>
      </c>
      <c r="R3" s="3" t="s">
        <v>32</v>
      </c>
      <c r="S3" s="7" t="s">
        <v>24</v>
      </c>
      <c r="T3" s="3" t="s">
        <v>33</v>
      </c>
      <c r="U3" s="7" t="s">
        <v>10</v>
      </c>
      <c r="V3" s="3" t="s">
        <v>34</v>
      </c>
      <c r="W3" s="7" t="s">
        <v>11</v>
      </c>
      <c r="X3" s="3" t="s">
        <v>35</v>
      </c>
      <c r="Y3" s="7" t="s">
        <v>12</v>
      </c>
      <c r="Z3" s="3" t="s">
        <v>36</v>
      </c>
      <c r="AA3" s="7" t="s">
        <v>13</v>
      </c>
      <c r="AB3" s="3" t="s">
        <v>37</v>
      </c>
      <c r="AC3" s="7" t="s">
        <v>14</v>
      </c>
      <c r="AD3" s="3" t="s">
        <v>38</v>
      </c>
      <c r="AE3" s="7" t="s">
        <v>15</v>
      </c>
    </row>
    <row r="4" spans="1:31" ht="15" customHeight="1">
      <c r="A4" s="33" t="s">
        <v>23</v>
      </c>
      <c r="B4" s="31">
        <v>2</v>
      </c>
      <c r="C4" s="28">
        <v>970343</v>
      </c>
      <c r="D4" s="28" t="s">
        <v>16</v>
      </c>
      <c r="E4" s="28">
        <v>30</v>
      </c>
      <c r="F4" s="1" t="s">
        <v>17</v>
      </c>
      <c r="G4" s="1">
        <v>13848</v>
      </c>
      <c r="H4" s="1">
        <v>13848</v>
      </c>
      <c r="I4" s="1">
        <f>(H4-G4)*E4</f>
        <v>0</v>
      </c>
      <c r="J4" s="1">
        <v>13848</v>
      </c>
      <c r="K4" s="8">
        <f>(J4-H4)*E4</f>
        <v>0</v>
      </c>
      <c r="L4" s="1">
        <v>13912</v>
      </c>
      <c r="M4" s="1">
        <f>(L4-J4)*E4</f>
        <v>1920</v>
      </c>
      <c r="N4" s="1">
        <v>13978</v>
      </c>
      <c r="O4" s="1">
        <f>(N4-L4)*E4</f>
        <v>1980</v>
      </c>
      <c r="P4" s="1">
        <v>14070</v>
      </c>
      <c r="Q4" s="1">
        <f>(P4-N4)*E4</f>
        <v>2760</v>
      </c>
      <c r="R4" s="1">
        <f>14151-40.9</f>
        <v>14110.1</v>
      </c>
      <c r="S4" s="8">
        <f>(R4-P4)*E4+2300</f>
        <v>3503.000000000011</v>
      </c>
      <c r="T4" s="19">
        <f>14232-1.2334</f>
        <v>14230.7666</v>
      </c>
      <c r="U4" s="8">
        <f>(T4-R4)*E4</f>
        <v>3619.998000000014</v>
      </c>
      <c r="V4" s="8">
        <f>14274-3.6334</f>
        <v>14270.3666</v>
      </c>
      <c r="W4" s="9">
        <f>(V4-T4)*E4</f>
        <v>1187.9999999999563</v>
      </c>
      <c r="X4" s="43" t="s">
        <v>40</v>
      </c>
      <c r="Y4" s="1">
        <v>0</v>
      </c>
      <c r="Z4" s="1"/>
      <c r="AA4" s="1">
        <v>0</v>
      </c>
      <c r="AB4" s="1"/>
      <c r="AC4" s="1">
        <f>(AB4-Z4)*E4</f>
        <v>0</v>
      </c>
      <c r="AD4" s="1"/>
      <c r="AE4" s="1">
        <f>(AD4-AB4)*E4</f>
        <v>0</v>
      </c>
    </row>
    <row r="5" spans="1:31" ht="15">
      <c r="A5" s="34"/>
      <c r="B5" s="30"/>
      <c r="C5" s="28"/>
      <c r="D5" s="28"/>
      <c r="E5" s="28"/>
      <c r="F5" s="1" t="s">
        <v>18</v>
      </c>
      <c r="G5" s="1">
        <v>11688</v>
      </c>
      <c r="H5" s="1">
        <v>11797</v>
      </c>
      <c r="I5" s="1">
        <f>(H5-G5)*E4</f>
        <v>3270</v>
      </c>
      <c r="J5" s="1">
        <v>11893</v>
      </c>
      <c r="K5" s="8">
        <f>(J5-H5)*E4</f>
        <v>2880</v>
      </c>
      <c r="L5" s="1">
        <v>11981</v>
      </c>
      <c r="M5" s="1">
        <f>(L5-J5)*E4</f>
        <v>2640</v>
      </c>
      <c r="N5" s="1">
        <v>12032</v>
      </c>
      <c r="O5" s="1">
        <f>(N5-L5)*E4</f>
        <v>1530</v>
      </c>
      <c r="P5" s="1">
        <v>12099</v>
      </c>
      <c r="Q5" s="1">
        <f>(P5-N5)*E4</f>
        <v>2010</v>
      </c>
      <c r="R5" s="1">
        <f>12165-31</f>
        <v>12134</v>
      </c>
      <c r="S5" s="1">
        <f>(R5-P5)*E4+1675</f>
        <v>2725</v>
      </c>
      <c r="T5" s="19">
        <f>12234-6.133333</f>
        <v>12227.866667</v>
      </c>
      <c r="U5" s="8">
        <f>(T5-R5)*E4</f>
        <v>2816.000010000007</v>
      </c>
      <c r="V5" s="1">
        <f>12265+19.86667</f>
        <v>12284.86667</v>
      </c>
      <c r="W5" s="25">
        <f>(V5-T5)*E4</f>
        <v>1710.000089999976</v>
      </c>
      <c r="X5" s="44"/>
      <c r="Y5" s="1">
        <v>0</v>
      </c>
      <c r="Z5" s="1"/>
      <c r="AA5" s="1">
        <f>(Z5-X5)*E4</f>
        <v>0</v>
      </c>
      <c r="AB5" s="1"/>
      <c r="AC5" s="1">
        <f>(AB5-Z5)*E4</f>
        <v>0</v>
      </c>
      <c r="AD5" s="1"/>
      <c r="AE5" s="1">
        <f>(AD5-AB5)*E4</f>
        <v>0</v>
      </c>
    </row>
    <row r="6" spans="1:31" ht="15">
      <c r="A6" s="34"/>
      <c r="B6" s="31"/>
      <c r="C6" s="28">
        <v>333466</v>
      </c>
      <c r="D6" s="28" t="s">
        <v>16</v>
      </c>
      <c r="E6" s="28">
        <v>30</v>
      </c>
      <c r="F6" s="1" t="s">
        <v>17</v>
      </c>
      <c r="G6" s="1"/>
      <c r="H6" s="1"/>
      <c r="I6" s="1"/>
      <c r="J6" s="1"/>
      <c r="K6" s="8"/>
      <c r="L6" s="1"/>
      <c r="M6" s="1"/>
      <c r="N6" s="1"/>
      <c r="O6" s="1"/>
      <c r="P6" s="1"/>
      <c r="Q6" s="1"/>
      <c r="R6" s="1"/>
      <c r="S6" s="1"/>
      <c r="T6" s="1">
        <v>1</v>
      </c>
      <c r="U6" s="8">
        <v>0</v>
      </c>
      <c r="V6" s="20">
        <v>26</v>
      </c>
      <c r="W6" s="9">
        <f>(V6-T6)*E6</f>
        <v>750</v>
      </c>
      <c r="X6" s="1">
        <v>132</v>
      </c>
      <c r="Y6" s="1">
        <f>(X6-V6)*E6</f>
        <v>3180</v>
      </c>
      <c r="Z6" s="1">
        <v>218</v>
      </c>
      <c r="AA6" s="9">
        <f>(Z6-X6)*E6-1020</f>
        <v>1560</v>
      </c>
      <c r="AB6" s="1">
        <v>312</v>
      </c>
      <c r="AC6" s="5">
        <f>(AB6-Z6)*E6+1020</f>
        <v>3840</v>
      </c>
      <c r="AD6" s="1">
        <v>379</v>
      </c>
      <c r="AE6" s="1">
        <f>(AD6-AB6)*E6</f>
        <v>2010</v>
      </c>
    </row>
    <row r="7" spans="1:31" ht="15">
      <c r="A7" s="34"/>
      <c r="B7" s="30"/>
      <c r="C7" s="28"/>
      <c r="D7" s="28"/>
      <c r="E7" s="28"/>
      <c r="F7" s="1" t="s">
        <v>18</v>
      </c>
      <c r="G7" s="1"/>
      <c r="H7" s="1"/>
      <c r="I7" s="1"/>
      <c r="J7" s="1"/>
      <c r="K7" s="8"/>
      <c r="L7" s="1"/>
      <c r="M7" s="1"/>
      <c r="N7" s="1"/>
      <c r="O7" s="1"/>
      <c r="P7" s="1"/>
      <c r="Q7" s="1"/>
      <c r="R7" s="1"/>
      <c r="S7" s="1"/>
      <c r="T7" s="1">
        <v>1</v>
      </c>
      <c r="U7" s="8">
        <v>0</v>
      </c>
      <c r="V7" s="20">
        <v>37</v>
      </c>
      <c r="W7" s="9">
        <f>(V7-T7)*E6</f>
        <v>1080</v>
      </c>
      <c r="X7" s="1">
        <v>106</v>
      </c>
      <c r="Y7" s="1">
        <f>(X7-V7)*E6</f>
        <v>2070</v>
      </c>
      <c r="Z7" s="1">
        <v>184</v>
      </c>
      <c r="AA7" s="9">
        <f>(Z7-X7)*E6+1020</f>
        <v>3360</v>
      </c>
      <c r="AB7" s="1">
        <v>268</v>
      </c>
      <c r="AC7" s="5">
        <f>(AB7-Z7)*E6-1020</f>
        <v>1500</v>
      </c>
      <c r="AD7" s="1">
        <v>330</v>
      </c>
      <c r="AE7" s="1">
        <f>(AD7-AB7)*E6</f>
        <v>1860</v>
      </c>
    </row>
    <row r="8" spans="1:31" ht="15">
      <c r="A8" s="34"/>
      <c r="B8" s="31">
        <v>3</v>
      </c>
      <c r="C8" s="35">
        <v>929282</v>
      </c>
      <c r="D8" s="28" t="s">
        <v>16</v>
      </c>
      <c r="E8" s="28">
        <v>30</v>
      </c>
      <c r="F8" s="1" t="s">
        <v>17</v>
      </c>
      <c r="G8" s="1">
        <v>1412</v>
      </c>
      <c r="H8" s="1">
        <v>1520</v>
      </c>
      <c r="I8" s="1">
        <f>(H8-G8)*E8</f>
        <v>3240</v>
      </c>
      <c r="J8" s="1">
        <v>1632</v>
      </c>
      <c r="K8" s="8">
        <f>(J8-H8)*E8</f>
        <v>3360</v>
      </c>
      <c r="L8" s="1">
        <v>1731</v>
      </c>
      <c r="M8" s="1">
        <f>(L8-J8)*E8</f>
        <v>2970</v>
      </c>
      <c r="N8" s="1">
        <v>1783</v>
      </c>
      <c r="O8" s="1">
        <f>(N8-L8)*E8</f>
        <v>1560</v>
      </c>
      <c r="P8" s="1">
        <v>1851</v>
      </c>
      <c r="Q8" s="1">
        <f>(P8-N8)*E8</f>
        <v>2040</v>
      </c>
      <c r="R8" s="1">
        <f>1920-32.7</f>
        <v>1887.3</v>
      </c>
      <c r="S8" s="1">
        <f>(R8-P8)*E8+1700</f>
        <v>2788.9999999999986</v>
      </c>
      <c r="T8" s="19">
        <f>1986-2.63333</f>
        <v>1983.36667</v>
      </c>
      <c r="U8" s="8">
        <f>(T8-R8)*E8</f>
        <v>2882.0001000000047</v>
      </c>
      <c r="V8" s="19">
        <f>2058+21.433337</f>
        <v>2079.433337</v>
      </c>
      <c r="W8" s="25">
        <f>(V8-T8)*E8</f>
        <v>2882.0000099999947</v>
      </c>
      <c r="X8" s="26">
        <v>2141</v>
      </c>
      <c r="Y8" s="27">
        <f>(X8-V8)*E8+643</f>
        <v>2489.999890000002</v>
      </c>
      <c r="Z8" s="1">
        <v>2216</v>
      </c>
      <c r="AA8" s="9">
        <f>(Z8-X8)*E8</f>
        <v>2250</v>
      </c>
      <c r="AB8" s="1">
        <v>2304</v>
      </c>
      <c r="AC8" s="5">
        <f>(AB8-Z8)*E8</f>
        <v>2640</v>
      </c>
      <c r="AD8" s="1">
        <v>2364</v>
      </c>
      <c r="AE8" s="1">
        <f>(AD8-AB8)*E8</f>
        <v>1800</v>
      </c>
    </row>
    <row r="9" spans="1:31" ht="15">
      <c r="A9" s="34"/>
      <c r="B9" s="30"/>
      <c r="C9" s="36"/>
      <c r="D9" s="28"/>
      <c r="E9" s="28"/>
      <c r="F9" s="1" t="s">
        <v>18</v>
      </c>
      <c r="G9" s="1">
        <v>1329</v>
      </c>
      <c r="H9" s="1">
        <v>1468</v>
      </c>
      <c r="I9" s="1">
        <f>(H9-G9)*E8</f>
        <v>4170</v>
      </c>
      <c r="J9" s="1">
        <v>1583</v>
      </c>
      <c r="K9" s="8">
        <f>(J9-H9)*E8</f>
        <v>3450</v>
      </c>
      <c r="L9" s="1">
        <v>1678</v>
      </c>
      <c r="M9" s="1">
        <f>(L9-J9)*E8</f>
        <v>2850</v>
      </c>
      <c r="N9" s="1">
        <v>1726</v>
      </c>
      <c r="O9" s="1">
        <f>(N9-L9)*E8</f>
        <v>1440</v>
      </c>
      <c r="P9" s="1">
        <v>1796</v>
      </c>
      <c r="Q9" s="1">
        <f>(P9-N9)*E8</f>
        <v>2100</v>
      </c>
      <c r="R9" s="1">
        <f>1864-34.8</f>
        <v>1829.2</v>
      </c>
      <c r="S9" s="1">
        <f>(R9-P9)*E8+1750</f>
        <v>2746.0000000000014</v>
      </c>
      <c r="T9" s="19">
        <f>1931-7.2</f>
        <v>1923.8</v>
      </c>
      <c r="U9" s="8">
        <f>(T9-R9)*E8</f>
        <v>2837.9999999999973</v>
      </c>
      <c r="V9" s="1">
        <f>1993+25.4</f>
        <v>2018.4</v>
      </c>
      <c r="W9" s="9">
        <f>(V9-T9)*E8</f>
        <v>2838.000000000004</v>
      </c>
      <c r="X9" s="26">
        <v>2066</v>
      </c>
      <c r="Y9" s="26">
        <f>(X9-V9)*E8+762</f>
        <v>2189.9999999999973</v>
      </c>
      <c r="Z9" s="1">
        <v>2141</v>
      </c>
      <c r="AA9" s="9">
        <f>(Z9-X9)*E8</f>
        <v>2250</v>
      </c>
      <c r="AB9" s="1">
        <v>2222</v>
      </c>
      <c r="AC9" s="5">
        <f>(AB9-Z9)*E8</f>
        <v>2430</v>
      </c>
      <c r="AD9" s="1">
        <v>2285</v>
      </c>
      <c r="AE9" s="1">
        <f>(AD9-AB9)*E8</f>
        <v>1890</v>
      </c>
    </row>
    <row r="10" spans="1:31" ht="15">
      <c r="A10" s="34"/>
      <c r="B10" s="31">
        <v>7</v>
      </c>
      <c r="C10" s="28">
        <v>970399</v>
      </c>
      <c r="D10" s="28" t="s">
        <v>16</v>
      </c>
      <c r="E10" s="28">
        <v>30</v>
      </c>
      <c r="F10" s="1" t="s">
        <v>17</v>
      </c>
      <c r="G10" s="1">
        <v>16236</v>
      </c>
      <c r="H10" s="1">
        <v>16405</v>
      </c>
      <c r="I10" s="1">
        <f>(H10-G10)*E10</f>
        <v>5070</v>
      </c>
      <c r="J10" s="1">
        <v>16565</v>
      </c>
      <c r="K10" s="8">
        <f>(J10-H10)*E10</f>
        <v>4800</v>
      </c>
      <c r="L10" s="1">
        <v>16710</v>
      </c>
      <c r="M10" s="1">
        <f>(L10-J10)*E10</f>
        <v>4350</v>
      </c>
      <c r="N10" s="1">
        <v>16796</v>
      </c>
      <c r="O10" s="1">
        <f>(N10-L10)*E10</f>
        <v>2580</v>
      </c>
      <c r="P10" s="1">
        <v>16900</v>
      </c>
      <c r="Q10" s="1">
        <f>(P10-N10)*E10</f>
        <v>3120</v>
      </c>
      <c r="R10" s="1">
        <f>16999-47.6</f>
        <v>16951.4</v>
      </c>
      <c r="S10" s="1">
        <f>(R10-P10)*E10+2600</f>
        <v>4142.000000000044</v>
      </c>
      <c r="T10" s="21">
        <f>17091+3.0667</f>
        <v>17094.0667</v>
      </c>
      <c r="U10" s="8">
        <f>(T10-R10)*E10</f>
        <v>4280.000999999938</v>
      </c>
      <c r="V10" s="1">
        <f>17139+12.0667</f>
        <v>17151.0667</v>
      </c>
      <c r="W10" s="9">
        <f>(V10-T10)*E10</f>
        <v>1710</v>
      </c>
      <c r="X10" s="43" t="s">
        <v>40</v>
      </c>
      <c r="Y10" s="1">
        <v>0</v>
      </c>
      <c r="Z10" s="1"/>
      <c r="AA10" s="9">
        <v>0</v>
      </c>
      <c r="AB10" s="1"/>
      <c r="AC10" s="1">
        <f>(AB10-Z10)*E10</f>
        <v>0</v>
      </c>
      <c r="AD10" s="1"/>
      <c r="AE10" s="1">
        <f>(AD10-AB10)*E10</f>
        <v>0</v>
      </c>
    </row>
    <row r="11" spans="1:31" ht="15">
      <c r="A11" s="34"/>
      <c r="B11" s="30"/>
      <c r="C11" s="28"/>
      <c r="D11" s="28"/>
      <c r="E11" s="28"/>
      <c r="F11" s="1" t="s">
        <v>18</v>
      </c>
      <c r="G11" s="1">
        <v>13751</v>
      </c>
      <c r="H11" s="1">
        <v>13893</v>
      </c>
      <c r="I11" s="1">
        <f>(H11-G11)*E10</f>
        <v>4260</v>
      </c>
      <c r="J11" s="1">
        <v>14024</v>
      </c>
      <c r="K11" s="8">
        <f>(J11-H11)*E10</f>
        <v>3930</v>
      </c>
      <c r="L11" s="1">
        <v>14140</v>
      </c>
      <c r="M11" s="1">
        <f>(L11-J11)*E10</f>
        <v>3480</v>
      </c>
      <c r="N11" s="1">
        <v>14210</v>
      </c>
      <c r="O11" s="1">
        <f>(N11-L11)*E10</f>
        <v>2100</v>
      </c>
      <c r="P11" s="1">
        <v>14292</v>
      </c>
      <c r="Q11" s="1">
        <f>(P11-N11)*E10</f>
        <v>2460</v>
      </c>
      <c r="R11" s="1">
        <f>14374-39.9</f>
        <v>14334.1</v>
      </c>
      <c r="S11" s="1">
        <f>(R11-P11)*E10+2050</f>
        <v>3313.000000000011</v>
      </c>
      <c r="T11" s="19">
        <f>14463-14.8</f>
        <v>14448.2</v>
      </c>
      <c r="U11" s="8">
        <f>(T11-R11)*E10</f>
        <v>3423.000000000011</v>
      </c>
      <c r="V11" s="1">
        <f>14503+16.433333</f>
        <v>14519.433333</v>
      </c>
      <c r="W11" s="25">
        <f>(V11-T11)*E10</f>
        <v>2136.999990000004</v>
      </c>
      <c r="X11" s="44"/>
      <c r="Y11" s="1">
        <v>0</v>
      </c>
      <c r="Z11" s="1"/>
      <c r="AA11" s="9">
        <f>(Z11-X11)*E10</f>
        <v>0</v>
      </c>
      <c r="AB11" s="1"/>
      <c r="AC11" s="1">
        <f>(AB11-Z11)*E10</f>
        <v>0</v>
      </c>
      <c r="AD11" s="1"/>
      <c r="AE11" s="1">
        <f>(AD11-AB11)*E10</f>
        <v>0</v>
      </c>
    </row>
    <row r="12" spans="1:31" ht="15">
      <c r="A12" s="34"/>
      <c r="B12" s="31"/>
      <c r="C12" s="28">
        <v>338940</v>
      </c>
      <c r="D12" s="28" t="s">
        <v>16</v>
      </c>
      <c r="E12" s="28">
        <v>30</v>
      </c>
      <c r="F12" s="1" t="s">
        <v>17</v>
      </c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  <c r="T12" s="1">
        <v>1</v>
      </c>
      <c r="U12" s="8">
        <v>0</v>
      </c>
      <c r="V12" s="20">
        <v>37</v>
      </c>
      <c r="W12" s="9">
        <f>(V12-T12)*E12</f>
        <v>1080</v>
      </c>
      <c r="X12" s="1">
        <v>171</v>
      </c>
      <c r="Y12" s="1">
        <f>(X12-V12)*E12</f>
        <v>4020</v>
      </c>
      <c r="Z12" s="1">
        <v>303</v>
      </c>
      <c r="AA12" s="9">
        <f>(Z12-X12)*E12</f>
        <v>3960</v>
      </c>
      <c r="AB12" s="1">
        <v>459</v>
      </c>
      <c r="AC12" s="5">
        <f>(AB12-Z12)*E12</f>
        <v>4680</v>
      </c>
      <c r="AD12" s="1">
        <v>566</v>
      </c>
      <c r="AE12" s="1">
        <f>(AD12-AB12)*E12</f>
        <v>3210</v>
      </c>
    </row>
    <row r="13" spans="1:31" ht="15">
      <c r="A13" s="34"/>
      <c r="B13" s="30"/>
      <c r="C13" s="28"/>
      <c r="D13" s="28"/>
      <c r="E13" s="28"/>
      <c r="F13" s="1" t="s">
        <v>18</v>
      </c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  <c r="R13" s="1"/>
      <c r="S13" s="1"/>
      <c r="T13" s="1">
        <v>1</v>
      </c>
      <c r="U13" s="8">
        <v>0</v>
      </c>
      <c r="V13" s="20">
        <v>46</v>
      </c>
      <c r="W13" s="9">
        <f>(V13-T13)*E12</f>
        <v>1350</v>
      </c>
      <c r="X13" s="1">
        <v>136</v>
      </c>
      <c r="Y13" s="1">
        <f>(X13-V13)*E12</f>
        <v>2700</v>
      </c>
      <c r="Z13" s="1">
        <v>255</v>
      </c>
      <c r="AA13" s="9">
        <f>(Z13-X13)*E12</f>
        <v>3570</v>
      </c>
      <c r="AB13" s="1">
        <v>391</v>
      </c>
      <c r="AC13" s="5">
        <f>(AB13-Z13)*E12</f>
        <v>4080</v>
      </c>
      <c r="AD13" s="1">
        <v>487</v>
      </c>
      <c r="AE13" s="1">
        <f>(AD13-AB13)*E12</f>
        <v>2880</v>
      </c>
    </row>
    <row r="14" spans="1:31" ht="15">
      <c r="A14" s="34"/>
      <c r="B14" s="31">
        <v>8</v>
      </c>
      <c r="C14" s="28">
        <v>970395</v>
      </c>
      <c r="D14" s="28" t="s">
        <v>16</v>
      </c>
      <c r="E14" s="28">
        <v>30</v>
      </c>
      <c r="F14" s="1" t="s">
        <v>17</v>
      </c>
      <c r="G14" s="1">
        <v>9519</v>
      </c>
      <c r="H14" s="1">
        <v>9615</v>
      </c>
      <c r="I14" s="1">
        <f>(H14-G14)*E14</f>
        <v>2880</v>
      </c>
      <c r="J14" s="1">
        <v>9703</v>
      </c>
      <c r="K14" s="8">
        <f>(J14-H14)*E14</f>
        <v>2640</v>
      </c>
      <c r="L14" s="1">
        <v>9781</v>
      </c>
      <c r="M14" s="1">
        <f>(L14-J14)*E14</f>
        <v>2340</v>
      </c>
      <c r="N14" s="1">
        <v>9832</v>
      </c>
      <c r="O14" s="1">
        <f>(N14-L14)*E14</f>
        <v>1530</v>
      </c>
      <c r="P14" s="1">
        <v>9894</v>
      </c>
      <c r="Q14" s="1">
        <f>(P14-N14)*E14</f>
        <v>1860</v>
      </c>
      <c r="R14" s="1">
        <f>9950-26.3</f>
        <v>9923.7</v>
      </c>
      <c r="S14" s="1">
        <f>(R14-P14)*E14+1550</f>
        <v>2441.000000000022</v>
      </c>
      <c r="T14" s="19">
        <f>10003+4.76667</f>
        <v>10007.76667</v>
      </c>
      <c r="U14" s="8">
        <f>(T14-R14)*E14</f>
        <v>2522.0001000000047</v>
      </c>
      <c r="V14" s="1">
        <f>10035+10.76667</f>
        <v>10045.76667</v>
      </c>
      <c r="W14" s="25">
        <f>(V14-T14)*E14</f>
        <v>1140</v>
      </c>
      <c r="X14" s="43" t="s">
        <v>40</v>
      </c>
      <c r="Y14" s="1">
        <v>0</v>
      </c>
      <c r="Z14" s="1"/>
      <c r="AA14" s="9">
        <v>0</v>
      </c>
      <c r="AB14" s="1"/>
      <c r="AC14" s="1">
        <f>(AB14-Z14)*E14</f>
        <v>0</v>
      </c>
      <c r="AD14" s="1"/>
      <c r="AE14" s="1">
        <f>(AD14-AB14)*E14</f>
        <v>0</v>
      </c>
    </row>
    <row r="15" spans="1:31" ht="15">
      <c r="A15" s="34"/>
      <c r="B15" s="30"/>
      <c r="C15" s="28"/>
      <c r="D15" s="28"/>
      <c r="E15" s="28"/>
      <c r="F15" s="1" t="s">
        <v>18</v>
      </c>
      <c r="G15" s="1">
        <v>7956</v>
      </c>
      <c r="H15" s="1">
        <v>8035</v>
      </c>
      <c r="I15" s="1">
        <f>(H15-G15)*E14</f>
        <v>2370</v>
      </c>
      <c r="J15" s="1">
        <v>8109</v>
      </c>
      <c r="K15" s="8">
        <f>(J15-H15)*E14</f>
        <v>2220</v>
      </c>
      <c r="L15" s="1">
        <v>8174</v>
      </c>
      <c r="M15" s="1">
        <f>(L15-J15)*E14</f>
        <v>1950</v>
      </c>
      <c r="N15" s="1">
        <v>8211</v>
      </c>
      <c r="O15" s="1">
        <f>(N15-L15)*E14</f>
        <v>1110</v>
      </c>
      <c r="P15" s="1">
        <v>8259</v>
      </c>
      <c r="Q15" s="1">
        <f>(P15-N15)*E14</f>
        <v>1440</v>
      </c>
      <c r="R15" s="1">
        <f>8306-22.8</f>
        <v>8283.2</v>
      </c>
      <c r="S15" s="1">
        <f>(R15-P15)*E14+1200</f>
        <v>1926.0000000000218</v>
      </c>
      <c r="T15" s="19">
        <f>8354-4.466666</f>
        <v>8349.533334</v>
      </c>
      <c r="U15" s="8">
        <f>(T15-R15)*E14</f>
        <v>1990.0000199999704</v>
      </c>
      <c r="V15" s="1">
        <f>8376+22.6</f>
        <v>8398.6</v>
      </c>
      <c r="W15" s="25">
        <f>(V15-T15)*E14</f>
        <v>1471.9999800000187</v>
      </c>
      <c r="X15" s="44"/>
      <c r="Y15" s="1">
        <v>0</v>
      </c>
      <c r="Z15" s="1"/>
      <c r="AA15" s="9">
        <f>(Z15-X15)*E14</f>
        <v>0</v>
      </c>
      <c r="AB15" s="1"/>
      <c r="AC15" s="1">
        <f>(AB15-Z15)*E14</f>
        <v>0</v>
      </c>
      <c r="AD15" s="1"/>
      <c r="AE15" s="1">
        <f>(AD15-AB15)*E14</f>
        <v>0</v>
      </c>
    </row>
    <row r="16" spans="1:31" ht="15">
      <c r="A16" s="34"/>
      <c r="B16" s="31"/>
      <c r="C16" s="28">
        <v>333463</v>
      </c>
      <c r="D16" s="28" t="s">
        <v>16</v>
      </c>
      <c r="E16" s="28">
        <v>30</v>
      </c>
      <c r="F16" s="1" t="s">
        <v>17</v>
      </c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  <c r="R16" s="1"/>
      <c r="S16" s="1"/>
      <c r="T16" s="1">
        <v>1</v>
      </c>
      <c r="U16" s="8">
        <v>0</v>
      </c>
      <c r="V16" s="20">
        <v>25</v>
      </c>
      <c r="W16" s="9">
        <f>(V16-T16)*E16</f>
        <v>720</v>
      </c>
      <c r="X16" s="1">
        <v>122</v>
      </c>
      <c r="Y16" s="1">
        <f>(X16-V16)*E16</f>
        <v>2910</v>
      </c>
      <c r="Z16" s="1">
        <v>211</v>
      </c>
      <c r="AA16" s="9">
        <f>(Z16-X16)*E16</f>
        <v>2670</v>
      </c>
      <c r="AB16" s="1">
        <v>320</v>
      </c>
      <c r="AC16" s="5">
        <f>(AB16-Z16)*E16</f>
        <v>3270</v>
      </c>
      <c r="AD16" s="1">
        <v>394</v>
      </c>
      <c r="AE16" s="1">
        <f>(AD16-AB16)*E16</f>
        <v>2220</v>
      </c>
    </row>
    <row r="17" spans="1:31" ht="15">
      <c r="A17" s="34"/>
      <c r="B17" s="30"/>
      <c r="C17" s="28"/>
      <c r="D17" s="28"/>
      <c r="E17" s="28"/>
      <c r="F17" s="1" t="s">
        <v>18</v>
      </c>
      <c r="G17" s="1"/>
      <c r="H17" s="1"/>
      <c r="I17" s="1"/>
      <c r="J17" s="1"/>
      <c r="K17" s="8"/>
      <c r="L17" s="1"/>
      <c r="M17" s="1"/>
      <c r="N17" s="1"/>
      <c r="O17" s="1"/>
      <c r="P17" s="1"/>
      <c r="Q17" s="1"/>
      <c r="R17" s="1"/>
      <c r="S17" s="1"/>
      <c r="T17" s="1">
        <v>1</v>
      </c>
      <c r="U17" s="8">
        <v>0</v>
      </c>
      <c r="V17" s="20">
        <v>32</v>
      </c>
      <c r="W17" s="9">
        <f>(V17-T17)*E16</f>
        <v>930</v>
      </c>
      <c r="X17" s="1">
        <v>96</v>
      </c>
      <c r="Y17" s="1">
        <f>(X17-V17)*E16</f>
        <v>1920</v>
      </c>
      <c r="Z17" s="1">
        <v>178</v>
      </c>
      <c r="AA17" s="9">
        <f>(Z17-X17)*E16</f>
        <v>2460</v>
      </c>
      <c r="AB17" s="1">
        <v>269</v>
      </c>
      <c r="AC17" s="5">
        <f>(AB17-Z17)*E16</f>
        <v>2730</v>
      </c>
      <c r="AD17" s="1">
        <v>337</v>
      </c>
      <c r="AE17" s="1">
        <f>(AD17-AB17)*E16</f>
        <v>2040</v>
      </c>
    </row>
    <row r="18" spans="1:31" ht="15" customHeight="1">
      <c r="A18" s="34"/>
      <c r="B18" s="31">
        <v>5</v>
      </c>
      <c r="C18" s="28">
        <v>925249</v>
      </c>
      <c r="D18" s="28" t="s">
        <v>21</v>
      </c>
      <c r="E18" s="28">
        <v>1</v>
      </c>
      <c r="F18" s="1" t="s">
        <v>17</v>
      </c>
      <c r="G18" s="1">
        <v>44860</v>
      </c>
      <c r="H18" s="1">
        <v>44861</v>
      </c>
      <c r="I18" s="1">
        <f>(H18-G18)*E18</f>
        <v>1</v>
      </c>
      <c r="J18" s="1">
        <v>44861</v>
      </c>
      <c r="K18" s="8">
        <f>(J18-H18)*E18</f>
        <v>0</v>
      </c>
      <c r="L18" s="1">
        <v>44862</v>
      </c>
      <c r="M18" s="1">
        <f>(L18-J18)*E18</f>
        <v>1</v>
      </c>
      <c r="N18" s="1">
        <v>44862</v>
      </c>
      <c r="O18" s="1">
        <f>(N18-L18)*E18</f>
        <v>0</v>
      </c>
      <c r="P18" s="9">
        <v>44862</v>
      </c>
      <c r="Q18" s="1">
        <f>(P18-N18)*E18</f>
        <v>0</v>
      </c>
      <c r="R18" s="1">
        <v>44862</v>
      </c>
      <c r="S18" s="1">
        <f>(R18-P18)*E18</f>
        <v>0</v>
      </c>
      <c r="T18" s="1">
        <f>44862</f>
        <v>44862</v>
      </c>
      <c r="U18" s="8">
        <f>(T18-R18)*E18</f>
        <v>0</v>
      </c>
      <c r="V18" s="1">
        <v>44863</v>
      </c>
      <c r="W18" s="9">
        <f>(V18-T18)*E18</f>
        <v>1</v>
      </c>
      <c r="X18" s="43" t="s">
        <v>40</v>
      </c>
      <c r="Y18" s="1">
        <v>0</v>
      </c>
      <c r="Z18" s="1"/>
      <c r="AA18" s="9">
        <v>0</v>
      </c>
      <c r="AB18" s="1"/>
      <c r="AC18" s="1">
        <f>(AB18-Z18)*E18</f>
        <v>0</v>
      </c>
      <c r="AD18" s="1"/>
      <c r="AE18" s="1">
        <f>(AD18-AB18)*E18</f>
        <v>0</v>
      </c>
    </row>
    <row r="19" spans="1:31" ht="15">
      <c r="A19" s="34"/>
      <c r="B19" s="30"/>
      <c r="C19" s="28"/>
      <c r="D19" s="28"/>
      <c r="E19" s="28"/>
      <c r="F19" s="1" t="s">
        <v>18</v>
      </c>
      <c r="G19" s="1">
        <v>70090</v>
      </c>
      <c r="H19" s="1">
        <v>70769</v>
      </c>
      <c r="I19" s="1">
        <f>(H19-G19)*E18</f>
        <v>679</v>
      </c>
      <c r="J19" s="1">
        <v>71332</v>
      </c>
      <c r="K19" s="8">
        <f>(J19-H19)*E18</f>
        <v>563</v>
      </c>
      <c r="L19" s="1">
        <v>71825</v>
      </c>
      <c r="M19" s="1">
        <f>(L19-J19)*E18</f>
        <v>493</v>
      </c>
      <c r="N19" s="1">
        <v>72115</v>
      </c>
      <c r="O19" s="1">
        <f>(N19-L19)*E18</f>
        <v>290</v>
      </c>
      <c r="P19" s="9">
        <v>72470</v>
      </c>
      <c r="Q19" s="1">
        <f>(P19-N19)*E18</f>
        <v>355</v>
      </c>
      <c r="R19" s="1">
        <v>72802</v>
      </c>
      <c r="S19" s="1">
        <f>(R19-P19)*E18</f>
        <v>332</v>
      </c>
      <c r="T19" s="1">
        <f>73209</f>
        <v>73209</v>
      </c>
      <c r="U19" s="8">
        <f>(T19-R19)*E18</f>
        <v>407</v>
      </c>
      <c r="V19" s="1">
        <v>73454</v>
      </c>
      <c r="W19" s="9">
        <f>(V19-T19)*E18</f>
        <v>245</v>
      </c>
      <c r="X19" s="44"/>
      <c r="Y19" s="1">
        <v>0</v>
      </c>
      <c r="Z19" s="1"/>
      <c r="AA19" s="9">
        <f>(Z19-X19)*E18</f>
        <v>0</v>
      </c>
      <c r="AB19" s="1"/>
      <c r="AC19" s="1">
        <f>(AB19-Z19)*E18</f>
        <v>0</v>
      </c>
      <c r="AD19" s="1"/>
      <c r="AE19" s="1">
        <f>(AD19-AB19)*E18</f>
        <v>0</v>
      </c>
    </row>
    <row r="20" spans="1:31" ht="15">
      <c r="A20" s="34"/>
      <c r="B20" s="31"/>
      <c r="C20" s="28">
        <v>340741</v>
      </c>
      <c r="D20" s="28" t="s">
        <v>21</v>
      </c>
      <c r="E20" s="28">
        <v>1</v>
      </c>
      <c r="F20" s="1" t="s">
        <v>17</v>
      </c>
      <c r="G20" s="1"/>
      <c r="H20" s="1"/>
      <c r="I20" s="1"/>
      <c r="J20" s="1"/>
      <c r="K20" s="8"/>
      <c r="L20" s="1"/>
      <c r="M20" s="1"/>
      <c r="N20" s="1"/>
      <c r="O20" s="1"/>
      <c r="P20" s="9"/>
      <c r="Q20" s="1"/>
      <c r="R20" s="1"/>
      <c r="S20" s="1"/>
      <c r="T20" s="1">
        <v>1</v>
      </c>
      <c r="U20" s="8">
        <v>0</v>
      </c>
      <c r="V20" s="1">
        <v>128</v>
      </c>
      <c r="W20" s="9">
        <f>(V20-T20)*E20</f>
        <v>127</v>
      </c>
      <c r="X20" s="1">
        <v>395</v>
      </c>
      <c r="Y20" s="1">
        <f>(X20-V20)*E20</f>
        <v>267</v>
      </c>
      <c r="Z20" s="1">
        <v>675</v>
      </c>
      <c r="AA20" s="9">
        <f>(Z20-X20)*E20</f>
        <v>280</v>
      </c>
      <c r="AB20" s="1">
        <v>1020</v>
      </c>
      <c r="AC20" s="5">
        <f>(AB20-Z20)*E20</f>
        <v>345</v>
      </c>
      <c r="AD20" s="1">
        <v>1288</v>
      </c>
      <c r="AE20" s="1">
        <f>(AD20-AB20)*E20</f>
        <v>268</v>
      </c>
    </row>
    <row r="21" spans="1:31" ht="15">
      <c r="A21" s="34"/>
      <c r="B21" s="30"/>
      <c r="C21" s="28"/>
      <c r="D21" s="28"/>
      <c r="E21" s="28"/>
      <c r="F21" s="1" t="s">
        <v>18</v>
      </c>
      <c r="G21" s="1"/>
      <c r="H21" s="1"/>
      <c r="I21" s="1"/>
      <c r="J21" s="1"/>
      <c r="K21" s="8"/>
      <c r="L21" s="1"/>
      <c r="M21" s="1"/>
      <c r="N21" s="1"/>
      <c r="O21" s="1"/>
      <c r="P21" s="9"/>
      <c r="Q21" s="1"/>
      <c r="R21" s="1"/>
      <c r="S21" s="1"/>
      <c r="T21" s="1">
        <v>1</v>
      </c>
      <c r="U21" s="8">
        <v>0</v>
      </c>
      <c r="V21" s="1">
        <v>191</v>
      </c>
      <c r="W21" s="9">
        <f>(V21-T21)*E20</f>
        <v>190</v>
      </c>
      <c r="X21" s="1">
        <v>615</v>
      </c>
      <c r="Y21" s="1">
        <f>(X21-V21)*E20</f>
        <v>424</v>
      </c>
      <c r="Z21" s="1">
        <v>1087</v>
      </c>
      <c r="AA21" s="9">
        <f>(Z21-X21)*E20</f>
        <v>472</v>
      </c>
      <c r="AB21" s="1">
        <v>1585</v>
      </c>
      <c r="AC21" s="5">
        <f>(AB21-Z21)*E20</f>
        <v>498</v>
      </c>
      <c r="AD21" s="1">
        <v>1967</v>
      </c>
      <c r="AE21" s="1">
        <f>(AD21-AB21)*E20</f>
        <v>382</v>
      </c>
    </row>
    <row r="22" spans="1:31" ht="15" customHeight="1">
      <c r="A22" s="34"/>
      <c r="B22" s="31">
        <v>10</v>
      </c>
      <c r="C22" s="28">
        <v>925168</v>
      </c>
      <c r="D22" s="29" t="s">
        <v>21</v>
      </c>
      <c r="E22" s="28">
        <v>1</v>
      </c>
      <c r="F22" s="1" t="s">
        <v>17</v>
      </c>
      <c r="G22" s="1">
        <v>60330</v>
      </c>
      <c r="H22" s="1">
        <v>60871</v>
      </c>
      <c r="I22" s="1">
        <f>(H22-G22)*E22</f>
        <v>541</v>
      </c>
      <c r="J22" s="1">
        <v>61371</v>
      </c>
      <c r="K22" s="8">
        <f>(J22-H22)*E22</f>
        <v>500</v>
      </c>
      <c r="L22" s="1">
        <v>61952</v>
      </c>
      <c r="M22" s="1">
        <f>(L22-J22)*E22</f>
        <v>581</v>
      </c>
      <c r="N22" s="1">
        <v>62312</v>
      </c>
      <c r="O22" s="1">
        <f>(N22-L22)*E22</f>
        <v>360</v>
      </c>
      <c r="P22" s="1">
        <v>62794</v>
      </c>
      <c r="Q22" s="1">
        <f>(P22-N22)*E22</f>
        <v>482</v>
      </c>
      <c r="R22" s="1">
        <v>63319</v>
      </c>
      <c r="S22" s="1">
        <f>(R22-P22)*E22</f>
        <v>525</v>
      </c>
      <c r="T22" s="1">
        <f>64057</f>
        <v>64057</v>
      </c>
      <c r="U22" s="8">
        <f>(T22-R22)*E22</f>
        <v>738</v>
      </c>
      <c r="V22" s="1">
        <v>64343</v>
      </c>
      <c r="W22" s="9">
        <f>(V22-T22)*E22</f>
        <v>286</v>
      </c>
      <c r="X22" s="43" t="s">
        <v>40</v>
      </c>
      <c r="Y22" s="1">
        <v>0</v>
      </c>
      <c r="Z22" s="1"/>
      <c r="AA22" s="9">
        <v>0</v>
      </c>
      <c r="AB22" s="1"/>
      <c r="AC22" s="1">
        <f>(AB22-Z22)*E22</f>
        <v>0</v>
      </c>
      <c r="AD22" s="1"/>
      <c r="AE22" s="1">
        <f>(AD22-AB22)*E22</f>
        <v>0</v>
      </c>
    </row>
    <row r="23" spans="1:31" ht="15">
      <c r="A23" s="34"/>
      <c r="B23" s="30"/>
      <c r="C23" s="28"/>
      <c r="D23" s="30"/>
      <c r="E23" s="28"/>
      <c r="F23" s="1" t="s">
        <v>18</v>
      </c>
      <c r="G23" s="1">
        <v>70724</v>
      </c>
      <c r="H23" s="1">
        <v>71180</v>
      </c>
      <c r="I23" s="1">
        <f>(H23-G23)*E22</f>
        <v>456</v>
      </c>
      <c r="J23" s="1">
        <v>71593</v>
      </c>
      <c r="K23" s="8">
        <f>(J23-H23)*E22</f>
        <v>413</v>
      </c>
      <c r="L23" s="1">
        <v>72031</v>
      </c>
      <c r="M23" s="1">
        <f>(L23-J23)*E22</f>
        <v>438</v>
      </c>
      <c r="N23" s="1">
        <v>72290</v>
      </c>
      <c r="O23" s="1">
        <f>(N23-L23)*E22</f>
        <v>259</v>
      </c>
      <c r="P23" s="1">
        <v>72626</v>
      </c>
      <c r="Q23" s="1">
        <f>(P23-N23)*E22</f>
        <v>336</v>
      </c>
      <c r="R23" s="1">
        <v>72971</v>
      </c>
      <c r="S23" s="1">
        <f>(R23-P23)*E22</f>
        <v>345</v>
      </c>
      <c r="T23" s="1">
        <f>73457</f>
        <v>73457</v>
      </c>
      <c r="U23" s="8">
        <f>(T23-R23)*E22</f>
        <v>486</v>
      </c>
      <c r="V23" s="1">
        <v>73629</v>
      </c>
      <c r="W23" s="9">
        <f>(V23-T23)*E22</f>
        <v>172</v>
      </c>
      <c r="X23" s="44"/>
      <c r="Y23" s="1">
        <v>0</v>
      </c>
      <c r="Z23" s="1"/>
      <c r="AA23" s="9">
        <f>(Z23-X23)*E22</f>
        <v>0</v>
      </c>
      <c r="AB23" s="1"/>
      <c r="AC23" s="1">
        <f>(AB23-Z23)*E22</f>
        <v>0</v>
      </c>
      <c r="AD23" s="1"/>
      <c r="AE23" s="1">
        <f>(AD23-AB23)*E22</f>
        <v>0</v>
      </c>
    </row>
    <row r="24" spans="1:31" ht="15">
      <c r="A24" s="34"/>
      <c r="B24" s="31"/>
      <c r="C24" s="28">
        <v>340726</v>
      </c>
      <c r="D24" s="29" t="s">
        <v>21</v>
      </c>
      <c r="E24" s="28">
        <v>1</v>
      </c>
      <c r="F24" s="1" t="s">
        <v>17</v>
      </c>
      <c r="G24" s="1"/>
      <c r="H24" s="1"/>
      <c r="I24" s="1"/>
      <c r="J24" s="1"/>
      <c r="K24" s="8"/>
      <c r="L24" s="1"/>
      <c r="M24" s="1"/>
      <c r="N24" s="1"/>
      <c r="O24" s="1"/>
      <c r="P24" s="1"/>
      <c r="Q24" s="1"/>
      <c r="R24" s="1"/>
      <c r="S24" s="1"/>
      <c r="T24" s="1">
        <v>1</v>
      </c>
      <c r="U24" s="8">
        <v>0</v>
      </c>
      <c r="V24" s="1">
        <v>125</v>
      </c>
      <c r="W24" s="9">
        <f>(V24-T24)*E24</f>
        <v>124</v>
      </c>
      <c r="X24" s="1">
        <v>427</v>
      </c>
      <c r="Y24" s="1">
        <f>(X24-V24)*E24</f>
        <v>302</v>
      </c>
      <c r="Z24" s="1">
        <v>748</v>
      </c>
      <c r="AA24" s="9">
        <f>(Z24-X24)*E24</f>
        <v>321</v>
      </c>
      <c r="AB24" s="1">
        <v>1103</v>
      </c>
      <c r="AC24" s="5">
        <f>(AB24-Z24)*E24</f>
        <v>355</v>
      </c>
      <c r="AD24" s="1">
        <v>1351</v>
      </c>
      <c r="AE24" s="1">
        <f>(AD24-AB24)*E24</f>
        <v>248</v>
      </c>
    </row>
    <row r="25" spans="1:31" ht="15">
      <c r="A25" s="34"/>
      <c r="B25" s="30"/>
      <c r="C25" s="28"/>
      <c r="D25" s="30"/>
      <c r="E25" s="28"/>
      <c r="F25" s="1" t="s">
        <v>18</v>
      </c>
      <c r="G25" s="1"/>
      <c r="H25" s="1"/>
      <c r="I25" s="1"/>
      <c r="J25" s="1"/>
      <c r="K25" s="8"/>
      <c r="L25" s="1"/>
      <c r="M25" s="1"/>
      <c r="N25" s="1"/>
      <c r="O25" s="1"/>
      <c r="P25" s="1"/>
      <c r="Q25" s="1"/>
      <c r="R25" s="1"/>
      <c r="S25" s="1"/>
      <c r="T25" s="1">
        <v>1</v>
      </c>
      <c r="U25" s="8">
        <v>0</v>
      </c>
      <c r="V25" s="1">
        <v>162</v>
      </c>
      <c r="W25" s="9">
        <f>(V25-T25)*E24</f>
        <v>161</v>
      </c>
      <c r="X25" s="1">
        <v>533</v>
      </c>
      <c r="Y25" s="1">
        <f>(X25-V25)*E24</f>
        <v>371</v>
      </c>
      <c r="Z25" s="1">
        <v>927</v>
      </c>
      <c r="AA25" s="9">
        <f>(Z25-X25)*E24</f>
        <v>394</v>
      </c>
      <c r="AB25" s="1">
        <v>1348</v>
      </c>
      <c r="AC25" s="5">
        <f>(AB25-Z25)*E24</f>
        <v>421</v>
      </c>
      <c r="AD25" s="1">
        <v>1663</v>
      </c>
      <c r="AE25" s="1">
        <f>(AD25-AB25)*E24</f>
        <v>315</v>
      </c>
    </row>
    <row r="26" spans="1:31" ht="15">
      <c r="A26" s="34"/>
      <c r="B26" s="31">
        <v>4</v>
      </c>
      <c r="C26" s="28">
        <v>629751</v>
      </c>
      <c r="D26" s="28" t="s">
        <v>19</v>
      </c>
      <c r="E26" s="28">
        <v>1</v>
      </c>
      <c r="F26" s="1" t="s">
        <v>17</v>
      </c>
      <c r="G26" s="1">
        <v>8745</v>
      </c>
      <c r="H26" s="1">
        <v>9321</v>
      </c>
      <c r="I26" s="1">
        <f>(H26-G26)*E26</f>
        <v>576</v>
      </c>
      <c r="J26" s="1">
        <v>9892</v>
      </c>
      <c r="K26" s="8">
        <f>(J26-H26)*E26</f>
        <v>571</v>
      </c>
      <c r="L26" s="1">
        <v>10448</v>
      </c>
      <c r="M26" s="1">
        <f>(L26-J26)*E26</f>
        <v>556</v>
      </c>
      <c r="N26" s="1">
        <v>10777</v>
      </c>
      <c r="O26" s="1">
        <f>(N26-L26)*E26</f>
        <v>329</v>
      </c>
      <c r="P26" s="1">
        <v>11205</v>
      </c>
      <c r="Q26" s="1">
        <f>(P26-N26)*E26</f>
        <v>428</v>
      </c>
      <c r="R26" s="1">
        <v>11630</v>
      </c>
      <c r="S26" s="1">
        <f>(R26-P26)*E26</f>
        <v>425</v>
      </c>
      <c r="T26" s="1">
        <f>12035</f>
        <v>12035</v>
      </c>
      <c r="U26" s="8">
        <f>(T26-R26)*E26</f>
        <v>405</v>
      </c>
      <c r="V26" s="1">
        <v>12440</v>
      </c>
      <c r="W26" s="9">
        <f>(V26-T26)*E26</f>
        <v>405</v>
      </c>
      <c r="X26" s="1">
        <v>12848</v>
      </c>
      <c r="Y26" s="1">
        <f>(X26-V26)*E26</f>
        <v>408</v>
      </c>
      <c r="Z26" s="1">
        <v>13272</v>
      </c>
      <c r="AA26" s="9">
        <f>(Z26-X26)*E26</f>
        <v>424</v>
      </c>
      <c r="AB26" s="1">
        <v>13730</v>
      </c>
      <c r="AC26" s="5">
        <f>(AB26-Z26)*E26</f>
        <v>458</v>
      </c>
      <c r="AD26" s="1">
        <v>14058</v>
      </c>
      <c r="AE26" s="1">
        <f>(AD26-AB26)*E26</f>
        <v>328</v>
      </c>
    </row>
    <row r="27" spans="1:31" ht="15">
      <c r="A27" s="34"/>
      <c r="B27" s="30"/>
      <c r="C27" s="28"/>
      <c r="D27" s="28"/>
      <c r="E27" s="28"/>
      <c r="F27" s="1" t="s">
        <v>18</v>
      </c>
      <c r="G27" s="1">
        <v>1415</v>
      </c>
      <c r="H27" s="1">
        <v>1520</v>
      </c>
      <c r="I27" s="1">
        <f>(H27-G27)*E26</f>
        <v>105</v>
      </c>
      <c r="J27" s="1">
        <v>1618</v>
      </c>
      <c r="K27" s="8">
        <f>(J27-H27)*E26</f>
        <v>98</v>
      </c>
      <c r="L27" s="1">
        <v>1706</v>
      </c>
      <c r="M27" s="1">
        <f>(L27-J27)*E26</f>
        <v>88</v>
      </c>
      <c r="N27" s="1">
        <v>1760</v>
      </c>
      <c r="O27" s="1">
        <f>(N27-L27)*E26</f>
        <v>54</v>
      </c>
      <c r="P27" s="1">
        <v>1828</v>
      </c>
      <c r="Q27" s="1">
        <f>(P27-N27)*E26</f>
        <v>68</v>
      </c>
      <c r="R27" s="1">
        <v>1893</v>
      </c>
      <c r="S27" s="1">
        <f>(R27-P27)*E26</f>
        <v>65</v>
      </c>
      <c r="T27" s="1">
        <f>1961</f>
        <v>1961</v>
      </c>
      <c r="U27" s="8">
        <f>(T27-R27)*E26</f>
        <v>68</v>
      </c>
      <c r="V27" s="1">
        <v>2025</v>
      </c>
      <c r="W27" s="9">
        <f>(V27-T27)*E26</f>
        <v>64</v>
      </c>
      <c r="X27" s="1">
        <v>2080</v>
      </c>
      <c r="Y27" s="1">
        <f>(X27-V27)*E26</f>
        <v>55</v>
      </c>
      <c r="Z27" s="1">
        <v>2135</v>
      </c>
      <c r="AA27" s="9">
        <f>(Z27-X27)*E26</f>
        <v>55</v>
      </c>
      <c r="AB27" s="1">
        <v>2194</v>
      </c>
      <c r="AC27" s="5">
        <f>(AB27-Z27)*E26</f>
        <v>59</v>
      </c>
      <c r="AD27" s="1">
        <v>2238</v>
      </c>
      <c r="AE27" s="1">
        <f>(AD27-AB27)*E26</f>
        <v>44</v>
      </c>
    </row>
    <row r="28" spans="1:31" ht="15">
      <c r="A28" s="34"/>
      <c r="B28" s="31">
        <v>9</v>
      </c>
      <c r="C28" s="28">
        <v>629473</v>
      </c>
      <c r="D28" s="28" t="s">
        <v>19</v>
      </c>
      <c r="E28" s="28">
        <v>1</v>
      </c>
      <c r="F28" s="1" t="s">
        <v>17</v>
      </c>
      <c r="G28" s="1">
        <v>9724</v>
      </c>
      <c r="H28" s="1">
        <v>10363</v>
      </c>
      <c r="I28" s="1">
        <f>(H28-G28)*E28</f>
        <v>639</v>
      </c>
      <c r="J28" s="1">
        <v>10963</v>
      </c>
      <c r="K28" s="8">
        <f>(J28-H28)*E28</f>
        <v>600</v>
      </c>
      <c r="L28" s="1">
        <v>11570</v>
      </c>
      <c r="M28" s="1">
        <f>(L28-J28)*E28</f>
        <v>607</v>
      </c>
      <c r="N28" s="1">
        <v>11972</v>
      </c>
      <c r="O28" s="1">
        <f>(N28-L28)*E28</f>
        <v>402</v>
      </c>
      <c r="P28" s="1">
        <v>12478</v>
      </c>
      <c r="Q28" s="1">
        <f>(P28-N28)*E28</f>
        <v>506</v>
      </c>
      <c r="R28" s="1">
        <v>12976</v>
      </c>
      <c r="S28" s="1">
        <f>(R28-P28)*E28</f>
        <v>498</v>
      </c>
      <c r="T28" s="1">
        <f>13465</f>
        <v>13465</v>
      </c>
      <c r="U28" s="8">
        <f>(T28-R28)*E28</f>
        <v>489</v>
      </c>
      <c r="V28" s="1">
        <v>13909</v>
      </c>
      <c r="W28" s="9">
        <f>(V28-T28)*E28</f>
        <v>444</v>
      </c>
      <c r="X28" s="1">
        <v>14381</v>
      </c>
      <c r="Y28" s="1">
        <f>(X28-V28)*E28</f>
        <v>472</v>
      </c>
      <c r="Z28" s="1">
        <v>14862</v>
      </c>
      <c r="AA28" s="9">
        <f>(Z28-X28)*E28</f>
        <v>481</v>
      </c>
      <c r="AB28" s="1">
        <v>15385</v>
      </c>
      <c r="AC28" s="5">
        <f>(AB28-Z28)*E28</f>
        <v>523</v>
      </c>
      <c r="AD28" s="1">
        <v>15763</v>
      </c>
      <c r="AE28" s="1">
        <f>(AD28-AB28)*E28</f>
        <v>378</v>
      </c>
    </row>
    <row r="29" spans="1:31" ht="15">
      <c r="A29" s="34"/>
      <c r="B29" s="30"/>
      <c r="C29" s="28"/>
      <c r="D29" s="28"/>
      <c r="E29" s="28"/>
      <c r="F29" s="1" t="s">
        <v>18</v>
      </c>
      <c r="G29" s="1">
        <v>1799</v>
      </c>
      <c r="H29" s="1">
        <v>1935</v>
      </c>
      <c r="I29" s="1">
        <f>(H29-G29)*E28</f>
        <v>136</v>
      </c>
      <c r="J29" s="1">
        <v>2045</v>
      </c>
      <c r="K29" s="8">
        <f>(J29-H29)*E28</f>
        <v>110</v>
      </c>
      <c r="L29" s="1">
        <v>2155</v>
      </c>
      <c r="M29" s="1">
        <f>(L29-J29)*E28</f>
        <v>110</v>
      </c>
      <c r="N29" s="1">
        <v>2227</v>
      </c>
      <c r="O29" s="1">
        <f>(N29-L29)*E28</f>
        <v>72</v>
      </c>
      <c r="P29" s="1">
        <v>2319</v>
      </c>
      <c r="Q29" s="1">
        <f>(P29-N29)*E28</f>
        <v>92</v>
      </c>
      <c r="R29" s="1">
        <v>2417</v>
      </c>
      <c r="S29" s="1">
        <f>(R29-P29)*E28</f>
        <v>98</v>
      </c>
      <c r="T29" s="1">
        <f>2512</f>
        <v>2512</v>
      </c>
      <c r="U29" s="8">
        <f>(T29-R29)*E28</f>
        <v>95</v>
      </c>
      <c r="V29" s="1">
        <v>2599</v>
      </c>
      <c r="W29" s="9">
        <f>(V29-T29)*E28</f>
        <v>87</v>
      </c>
      <c r="X29" s="1">
        <v>2665</v>
      </c>
      <c r="Y29" s="1">
        <f>(X29-V29)*E28</f>
        <v>66</v>
      </c>
      <c r="Z29" s="1">
        <v>2730</v>
      </c>
      <c r="AA29" s="9">
        <f>(Z29-X29)*E28</f>
        <v>65</v>
      </c>
      <c r="AB29" s="1">
        <v>2803</v>
      </c>
      <c r="AC29" s="5">
        <f>(AB29-Z29)*E28</f>
        <v>73</v>
      </c>
      <c r="AD29" s="1">
        <v>2856</v>
      </c>
      <c r="AE29" s="1">
        <f>(AD29-AB29)*E28</f>
        <v>53</v>
      </c>
    </row>
    <row r="30" spans="1:31" ht="15" customHeight="1">
      <c r="A30" s="34"/>
      <c r="B30" s="31">
        <v>1</v>
      </c>
      <c r="C30" s="28">
        <v>11198</v>
      </c>
      <c r="D30" s="28" t="s">
        <v>20</v>
      </c>
      <c r="E30" s="28">
        <v>15</v>
      </c>
      <c r="F30" s="1" t="s">
        <v>17</v>
      </c>
      <c r="G30" s="1">
        <v>4126</v>
      </c>
      <c r="H30" s="1">
        <v>4171</v>
      </c>
      <c r="I30" s="1">
        <f>(H30-G30)*E30</f>
        <v>675</v>
      </c>
      <c r="J30" s="1">
        <v>4217</v>
      </c>
      <c r="K30" s="8">
        <f>(J30-H30)*E30</f>
        <v>690</v>
      </c>
      <c r="L30" s="1">
        <v>4253</v>
      </c>
      <c r="M30" s="1">
        <f>(L30-J30)*E30</f>
        <v>540</v>
      </c>
      <c r="N30" s="1">
        <v>4273</v>
      </c>
      <c r="O30" s="1">
        <f>(N30-L30)*E30</f>
        <v>300</v>
      </c>
      <c r="P30" s="1">
        <v>4299</v>
      </c>
      <c r="Q30" s="1">
        <f>(P30-N30)*E30</f>
        <v>390</v>
      </c>
      <c r="R30" s="1">
        <f>4322-12.2</f>
        <v>4309.8</v>
      </c>
      <c r="S30" s="1">
        <f>(R30-P30)*E30+325</f>
        <v>487.00000000000273</v>
      </c>
      <c r="T30" s="19">
        <f>4349-5.6667</f>
        <v>4343.3333</v>
      </c>
      <c r="U30" s="8">
        <f>(T30-R30)*E30</f>
        <v>502.9995000000008</v>
      </c>
      <c r="V30" s="19">
        <f>4360+8.666633</f>
        <v>4368.666633</v>
      </c>
      <c r="W30" s="25">
        <f>(V30-T30)*E30</f>
        <v>379.99999499999376</v>
      </c>
      <c r="X30" s="43" t="s">
        <v>40</v>
      </c>
      <c r="Y30" s="1">
        <v>0</v>
      </c>
      <c r="Z30" s="1"/>
      <c r="AA30" s="9">
        <v>0</v>
      </c>
      <c r="AB30" s="1"/>
      <c r="AC30" s="1">
        <f>(AB30-Z30)*E30</f>
        <v>0</v>
      </c>
      <c r="AD30" s="1"/>
      <c r="AE30" s="1">
        <f>(AD30-AB30)*E30</f>
        <v>0</v>
      </c>
    </row>
    <row r="31" spans="1:31" ht="15">
      <c r="A31" s="34"/>
      <c r="B31" s="30"/>
      <c r="C31" s="28"/>
      <c r="D31" s="28"/>
      <c r="E31" s="28"/>
      <c r="F31" s="1" t="s">
        <v>18</v>
      </c>
      <c r="G31" s="1">
        <v>4978</v>
      </c>
      <c r="H31" s="1">
        <v>5034</v>
      </c>
      <c r="I31" s="1">
        <f>(H31-G31)*E30</f>
        <v>840</v>
      </c>
      <c r="J31" s="1">
        <v>5088</v>
      </c>
      <c r="K31" s="8">
        <f>(J31-H31)*E30</f>
        <v>810</v>
      </c>
      <c r="L31" s="1">
        <v>5131</v>
      </c>
      <c r="M31" s="1">
        <f>(L31-J31)*E30</f>
        <v>645</v>
      </c>
      <c r="N31" s="1">
        <v>5156</v>
      </c>
      <c r="O31" s="1">
        <f>(N31-L31)*E30</f>
        <v>375</v>
      </c>
      <c r="P31" s="1">
        <v>5186</v>
      </c>
      <c r="Q31" s="1">
        <f>(P31-N31)*E30</f>
        <v>450</v>
      </c>
      <c r="R31" s="9">
        <f>5216-16.2</f>
        <v>5199.8</v>
      </c>
      <c r="S31" s="1">
        <f>(R31-P31)*E30+375</f>
        <v>582.0000000000027</v>
      </c>
      <c r="T31" s="1">
        <f>5250-10.133333</f>
        <v>5239.866667</v>
      </c>
      <c r="U31" s="8">
        <f>(T31-R31)*E30</f>
        <v>601.0000050000008</v>
      </c>
      <c r="V31" s="1">
        <f>5260+5.2</f>
        <v>5265.2</v>
      </c>
      <c r="W31" s="25">
        <f>(V31-T31)*E30</f>
        <v>379.99999499999376</v>
      </c>
      <c r="X31" s="44"/>
      <c r="Y31" s="1">
        <v>0</v>
      </c>
      <c r="Z31" s="1"/>
      <c r="AA31" s="9">
        <f>(Z31-X31)*E30</f>
        <v>0</v>
      </c>
      <c r="AB31" s="1"/>
      <c r="AC31" s="1">
        <f>(AB31-Z31)*E30</f>
        <v>0</v>
      </c>
      <c r="AD31" s="1"/>
      <c r="AE31" s="1">
        <f>(AD31-AB31)*E30</f>
        <v>0</v>
      </c>
    </row>
    <row r="32" spans="1:31" ht="15">
      <c r="A32" s="34"/>
      <c r="B32" s="31"/>
      <c r="C32" s="28">
        <v>338956</v>
      </c>
      <c r="D32" s="28" t="s">
        <v>20</v>
      </c>
      <c r="E32" s="28">
        <v>15</v>
      </c>
      <c r="F32" s="1" t="s">
        <v>17</v>
      </c>
      <c r="G32" s="1"/>
      <c r="H32" s="1"/>
      <c r="I32" s="1"/>
      <c r="J32" s="1"/>
      <c r="K32" s="8"/>
      <c r="L32" s="1"/>
      <c r="M32" s="1"/>
      <c r="N32" s="1"/>
      <c r="O32" s="1"/>
      <c r="P32" s="1"/>
      <c r="Q32" s="1"/>
      <c r="R32" s="9"/>
      <c r="S32" s="1"/>
      <c r="T32" s="1">
        <v>1</v>
      </c>
      <c r="U32" s="8">
        <v>0</v>
      </c>
      <c r="V32" s="1">
        <v>17</v>
      </c>
      <c r="W32" s="9">
        <f>(V32-T32)*E32</f>
        <v>240</v>
      </c>
      <c r="X32" s="1">
        <v>44</v>
      </c>
      <c r="Y32" s="1">
        <f>(X32-V32)*E32</f>
        <v>405</v>
      </c>
      <c r="Z32" s="1">
        <v>68</v>
      </c>
      <c r="AA32" s="9">
        <f>(Z32-X32)*E32+135</f>
        <v>495</v>
      </c>
      <c r="AB32" s="1">
        <v>101</v>
      </c>
      <c r="AC32" s="5">
        <f>(AB32-Z32)*E32-135</f>
        <v>360</v>
      </c>
      <c r="AD32" s="1">
        <v>126</v>
      </c>
      <c r="AE32" s="1">
        <f>(AD32-AB32)*E32</f>
        <v>375</v>
      </c>
    </row>
    <row r="33" spans="1:31" ht="15">
      <c r="A33" s="34"/>
      <c r="B33" s="30"/>
      <c r="C33" s="28"/>
      <c r="D33" s="28"/>
      <c r="E33" s="28"/>
      <c r="F33" s="1" t="s">
        <v>18</v>
      </c>
      <c r="G33" s="1"/>
      <c r="H33" s="1"/>
      <c r="I33" s="1"/>
      <c r="J33" s="1"/>
      <c r="K33" s="8"/>
      <c r="L33" s="1"/>
      <c r="M33" s="1"/>
      <c r="N33" s="1"/>
      <c r="O33" s="1"/>
      <c r="P33" s="1"/>
      <c r="Q33" s="1"/>
      <c r="R33" s="9"/>
      <c r="S33" s="1"/>
      <c r="T33" s="1">
        <v>1</v>
      </c>
      <c r="U33" s="8">
        <v>0</v>
      </c>
      <c r="V33" s="1">
        <v>17</v>
      </c>
      <c r="W33" s="9">
        <f>(V33-T33)*E32</f>
        <v>240</v>
      </c>
      <c r="X33" s="1">
        <v>46</v>
      </c>
      <c r="Y33" s="1">
        <f>(X33-V33)*E32</f>
        <v>435</v>
      </c>
      <c r="Z33" s="1">
        <v>77</v>
      </c>
      <c r="AA33" s="9">
        <f>(Z33-X33)*E32-135</f>
        <v>330</v>
      </c>
      <c r="AB33" s="1">
        <v>115</v>
      </c>
      <c r="AC33" s="5">
        <f>(AB33-Z33)*E32+135</f>
        <v>705</v>
      </c>
      <c r="AD33" s="1">
        <v>146</v>
      </c>
      <c r="AE33" s="1">
        <f>(AD33-AB33)*E32</f>
        <v>465</v>
      </c>
    </row>
    <row r="34" spans="1:31" ht="15">
      <c r="A34" s="34"/>
      <c r="B34" s="31">
        <v>6</v>
      </c>
      <c r="C34" s="28">
        <v>970402</v>
      </c>
      <c r="D34" s="28" t="s">
        <v>20</v>
      </c>
      <c r="E34" s="28">
        <v>15</v>
      </c>
      <c r="F34" s="1" t="s">
        <v>17</v>
      </c>
      <c r="G34" s="1">
        <v>2269</v>
      </c>
      <c r="H34" s="1">
        <v>2287</v>
      </c>
      <c r="I34" s="1">
        <f>(H34-G34)*E34</f>
        <v>270</v>
      </c>
      <c r="J34" s="1">
        <v>2301</v>
      </c>
      <c r="K34" s="8">
        <f>(J34-H34)*E34</f>
        <v>210</v>
      </c>
      <c r="L34" s="1">
        <v>2312</v>
      </c>
      <c r="M34" s="1">
        <f>(L34-J34)*E34</f>
        <v>165</v>
      </c>
      <c r="N34" s="1">
        <v>2320</v>
      </c>
      <c r="O34" s="1">
        <f>(N34-L34)*E34</f>
        <v>120</v>
      </c>
      <c r="P34" s="1">
        <v>2330</v>
      </c>
      <c r="Q34" s="1">
        <f>(P34-N34)*E34</f>
        <v>150</v>
      </c>
      <c r="R34" s="1">
        <f>2340-4.6</f>
        <v>2335.4</v>
      </c>
      <c r="S34" s="1">
        <f>(R34-P34)*E34+125</f>
        <v>206.00000000000136</v>
      </c>
      <c r="T34" s="19">
        <f>2350-0.400003</f>
        <v>2349.599997</v>
      </c>
      <c r="U34" s="8">
        <f>(T34-R34)*E34</f>
        <v>212.99995499999568</v>
      </c>
      <c r="V34" s="1">
        <f>2355+4.066667</f>
        <v>2359.066667</v>
      </c>
      <c r="W34" s="25">
        <f>(V34-T34)*E34</f>
        <v>142.00005000000374</v>
      </c>
      <c r="X34" s="43" t="s">
        <v>40</v>
      </c>
      <c r="Y34" s="1">
        <v>0</v>
      </c>
      <c r="Z34" s="1"/>
      <c r="AA34" s="9">
        <v>0</v>
      </c>
      <c r="AB34" s="1"/>
      <c r="AC34" s="1">
        <f>(AB34-Z34)*E34</f>
        <v>0</v>
      </c>
      <c r="AD34" s="1"/>
      <c r="AE34" s="1">
        <f>(AD34-AB34)*E34</f>
        <v>0</v>
      </c>
    </row>
    <row r="35" spans="1:31" ht="15">
      <c r="A35" s="34"/>
      <c r="B35" s="30"/>
      <c r="C35" s="28"/>
      <c r="D35" s="28"/>
      <c r="E35" s="28"/>
      <c r="F35" s="1" t="s">
        <v>18</v>
      </c>
      <c r="G35" s="1">
        <v>3011</v>
      </c>
      <c r="H35" s="1">
        <v>3034</v>
      </c>
      <c r="I35" s="1">
        <f>(H35-G35)*E34</f>
        <v>345</v>
      </c>
      <c r="J35" s="1">
        <v>3052</v>
      </c>
      <c r="K35" s="8">
        <f>(J35-H35)*E34</f>
        <v>270</v>
      </c>
      <c r="L35" s="1">
        <v>3068</v>
      </c>
      <c r="M35" s="1">
        <f>(L35-J35)*E34</f>
        <v>240</v>
      </c>
      <c r="N35" s="1">
        <v>3079</v>
      </c>
      <c r="O35" s="1">
        <f>(N35-L35)*E34</f>
        <v>165</v>
      </c>
      <c r="P35" s="1">
        <v>3092</v>
      </c>
      <c r="Q35" s="1">
        <f>(P35-N35)*E34</f>
        <v>195</v>
      </c>
      <c r="R35" s="1">
        <f>3106-6.4</f>
        <v>3099.6</v>
      </c>
      <c r="S35" s="1">
        <f>(R35-P35)*E34+163</f>
        <v>276.99999999999864</v>
      </c>
      <c r="T35" s="1">
        <f>3121-2.333333</f>
        <v>3118.666667</v>
      </c>
      <c r="U35" s="8">
        <f>(T35-R35)*E34</f>
        <v>286.0000050000008</v>
      </c>
      <c r="V35" s="8">
        <f>3128-1.39997</f>
        <v>3126.60003</v>
      </c>
      <c r="W35" s="25">
        <f>(V35-T35)*E34</f>
        <v>119.00044500000149</v>
      </c>
      <c r="X35" s="44"/>
      <c r="Y35" s="1">
        <v>0</v>
      </c>
      <c r="Z35" s="1"/>
      <c r="AA35" s="9">
        <f>(Z35-X35)*E34</f>
        <v>0</v>
      </c>
      <c r="AB35" s="1"/>
      <c r="AC35" s="1">
        <f>(AB35-Z35)*E34</f>
        <v>0</v>
      </c>
      <c r="AD35" s="1"/>
      <c r="AE35" s="1">
        <f>(AD35-AB35)*E34</f>
        <v>0</v>
      </c>
    </row>
    <row r="36" spans="1:31" ht="15">
      <c r="A36" s="34"/>
      <c r="B36" s="31"/>
      <c r="C36" s="28">
        <v>338921</v>
      </c>
      <c r="D36" s="28" t="s">
        <v>20</v>
      </c>
      <c r="E36" s="28">
        <v>15</v>
      </c>
      <c r="F36" s="1" t="s">
        <v>17</v>
      </c>
      <c r="G36" s="1"/>
      <c r="H36" s="1"/>
      <c r="I36" s="1"/>
      <c r="J36" s="1"/>
      <c r="K36" s="8"/>
      <c r="L36" s="1"/>
      <c r="M36" s="1"/>
      <c r="N36" s="1"/>
      <c r="O36" s="1"/>
      <c r="P36" s="1"/>
      <c r="Q36" s="1"/>
      <c r="R36" s="1"/>
      <c r="S36" s="1"/>
      <c r="T36" s="1">
        <v>1</v>
      </c>
      <c r="U36" s="8">
        <v>0</v>
      </c>
      <c r="V36" s="20">
        <v>7</v>
      </c>
      <c r="W36" s="9">
        <f>(V36-T36)*E36</f>
        <v>90</v>
      </c>
      <c r="X36" s="1">
        <v>17</v>
      </c>
      <c r="Y36" s="1">
        <f>(X36-V36)*E36</f>
        <v>150</v>
      </c>
      <c r="Z36" s="1">
        <v>28</v>
      </c>
      <c r="AA36" s="9">
        <f>(Z36-X36)*E36</f>
        <v>165</v>
      </c>
      <c r="AB36" s="1">
        <v>42</v>
      </c>
      <c r="AC36" s="5">
        <f>(AB36-Z36)*E36</f>
        <v>210</v>
      </c>
      <c r="AD36" s="1">
        <v>52</v>
      </c>
      <c r="AE36" s="1">
        <f>(AD36-AB36)*E36</f>
        <v>150</v>
      </c>
    </row>
    <row r="37" spans="1:31" ht="15">
      <c r="A37" s="34"/>
      <c r="B37" s="30"/>
      <c r="C37" s="28"/>
      <c r="D37" s="28"/>
      <c r="E37" s="28"/>
      <c r="F37" s="1" t="s">
        <v>18</v>
      </c>
      <c r="G37" s="1"/>
      <c r="H37" s="1"/>
      <c r="I37" s="1"/>
      <c r="J37" s="1"/>
      <c r="K37" s="8"/>
      <c r="L37" s="1"/>
      <c r="M37" s="1"/>
      <c r="N37" s="1"/>
      <c r="O37" s="1"/>
      <c r="P37" s="1"/>
      <c r="Q37" s="1"/>
      <c r="R37" s="1"/>
      <c r="S37" s="1"/>
      <c r="T37" s="1">
        <v>1</v>
      </c>
      <c r="U37" s="8">
        <v>0</v>
      </c>
      <c r="V37" s="20">
        <v>6</v>
      </c>
      <c r="W37" s="9">
        <f>(V37-T37)*E36</f>
        <v>75</v>
      </c>
      <c r="X37" s="1">
        <v>22</v>
      </c>
      <c r="Y37" s="1">
        <f>(X37-V37)*E36</f>
        <v>240</v>
      </c>
      <c r="Z37" s="1">
        <v>38</v>
      </c>
      <c r="AA37" s="9">
        <f>(Z37-X37)*E36</f>
        <v>240</v>
      </c>
      <c r="AB37" s="1">
        <v>56</v>
      </c>
      <c r="AC37" s="5">
        <f>(AB37-Z37)*E36</f>
        <v>270</v>
      </c>
      <c r="AD37" s="1">
        <v>70</v>
      </c>
      <c r="AE37" s="1">
        <f>(AD37-AB37)*E36</f>
        <v>210</v>
      </c>
    </row>
    <row r="38" spans="1:31" ht="15">
      <c r="A38" s="34"/>
      <c r="B38" s="31">
        <v>12</v>
      </c>
      <c r="C38" s="28">
        <v>677161</v>
      </c>
      <c r="D38" s="28" t="s">
        <v>16</v>
      </c>
      <c r="E38" s="28">
        <v>40</v>
      </c>
      <c r="F38" s="1" t="s">
        <v>17</v>
      </c>
      <c r="G38" s="1">
        <v>15629</v>
      </c>
      <c r="H38" s="1">
        <v>15802</v>
      </c>
      <c r="I38" s="1">
        <f>(H38-G38)*E38</f>
        <v>6920</v>
      </c>
      <c r="J38" s="1">
        <v>15965</v>
      </c>
      <c r="K38" s="8">
        <f>(J38-H38)*E38</f>
        <v>6520</v>
      </c>
      <c r="L38" s="1">
        <v>16103</v>
      </c>
      <c r="M38" s="1">
        <f>(L38-J38)*E38</f>
        <v>5520</v>
      </c>
      <c r="N38" s="1">
        <v>16185</v>
      </c>
      <c r="O38" s="1">
        <f>(N38-L38)*E38</f>
        <v>3280</v>
      </c>
      <c r="P38" s="1">
        <v>16292</v>
      </c>
      <c r="Q38" s="1">
        <f>(P38-N38)*E38</f>
        <v>4280</v>
      </c>
      <c r="R38" s="1">
        <f>16395-49.8</f>
        <v>16345.2</v>
      </c>
      <c r="S38" s="1">
        <f>(R38-P38)*E38+3567</f>
        <v>5695.000000000029</v>
      </c>
      <c r="T38" s="19">
        <f>16497-4.7</f>
        <v>16492.3</v>
      </c>
      <c r="U38" s="8">
        <f>(T38-R38)*E38</f>
        <v>5883.999999999942</v>
      </c>
      <c r="V38" s="1">
        <f>16578-52.45</f>
        <v>16525.55</v>
      </c>
      <c r="W38" s="9">
        <f>(V38-T38)*E38</f>
        <v>1330</v>
      </c>
      <c r="X38" s="43" t="s">
        <v>40</v>
      </c>
      <c r="Y38" s="1">
        <v>0</v>
      </c>
      <c r="Z38" s="1"/>
      <c r="AA38" s="9">
        <v>0</v>
      </c>
      <c r="AB38" s="1"/>
      <c r="AC38" s="1">
        <f>(AB38-Z38)*E38</f>
        <v>0</v>
      </c>
      <c r="AD38" s="1"/>
      <c r="AE38" s="1">
        <f>(AD38-AB38)*E38</f>
        <v>0</v>
      </c>
    </row>
    <row r="39" spans="1:31" ht="15">
      <c r="A39" s="34"/>
      <c r="B39" s="30"/>
      <c r="C39" s="28"/>
      <c r="D39" s="28"/>
      <c r="E39" s="28"/>
      <c r="F39" s="1" t="s">
        <v>18</v>
      </c>
      <c r="G39" s="1">
        <v>13771</v>
      </c>
      <c r="H39" s="1">
        <v>13947</v>
      </c>
      <c r="I39" s="1">
        <f>(H39-G39)*E38</f>
        <v>7040</v>
      </c>
      <c r="J39" s="1">
        <v>14105</v>
      </c>
      <c r="K39" s="8">
        <f>(J39-H39)*E38</f>
        <v>6320</v>
      </c>
      <c r="L39" s="1">
        <v>14248</v>
      </c>
      <c r="M39" s="1">
        <f>(L39-J39)*E38</f>
        <v>5720</v>
      </c>
      <c r="N39" s="1">
        <v>14329</v>
      </c>
      <c r="O39" s="1">
        <f>(N39-L39)*E38</f>
        <v>3240</v>
      </c>
      <c r="P39" s="1">
        <v>14432</v>
      </c>
      <c r="Q39" s="1">
        <f>(P39-N39)*E38</f>
        <v>4120</v>
      </c>
      <c r="R39" s="9">
        <f>14532-48.2</f>
        <v>14483.8</v>
      </c>
      <c r="S39" s="1">
        <f>(R39-P39)*E38+3433</f>
        <v>5504.999999999971</v>
      </c>
      <c r="T39" s="17">
        <f>14640-13.975</f>
        <v>14626.025</v>
      </c>
      <c r="U39" s="8">
        <f>(T39-R39)*E38</f>
        <v>5689.000000000015</v>
      </c>
      <c r="V39" s="1">
        <f>14711-50.15</f>
        <v>14660.85</v>
      </c>
      <c r="W39" s="9">
        <f>(V39-T39)*E38</f>
        <v>1393.000000000029</v>
      </c>
      <c r="X39" s="44"/>
      <c r="Y39" s="1">
        <v>0</v>
      </c>
      <c r="Z39" s="1"/>
      <c r="AA39" s="9">
        <f>(Z39-X39)*E38</f>
        <v>0</v>
      </c>
      <c r="AB39" s="1"/>
      <c r="AC39" s="1">
        <f>(AB39-Z39)*E38</f>
        <v>0</v>
      </c>
      <c r="AD39" s="1"/>
      <c r="AE39" s="1">
        <f>(AD39-AB39)*E38</f>
        <v>0</v>
      </c>
    </row>
    <row r="40" spans="1:31" ht="15">
      <c r="A40" s="34"/>
      <c r="B40" s="31"/>
      <c r="C40" s="28">
        <v>338076</v>
      </c>
      <c r="D40" s="28" t="s">
        <v>16</v>
      </c>
      <c r="E40" s="28">
        <v>40</v>
      </c>
      <c r="F40" s="1" t="s">
        <v>17</v>
      </c>
      <c r="G40" s="1"/>
      <c r="H40" s="1"/>
      <c r="I40" s="1"/>
      <c r="J40" s="1"/>
      <c r="K40" s="8"/>
      <c r="L40" s="1"/>
      <c r="M40" s="1"/>
      <c r="N40" s="1"/>
      <c r="O40" s="1"/>
      <c r="P40" s="1"/>
      <c r="Q40" s="1"/>
      <c r="R40" s="9"/>
      <c r="S40" s="1"/>
      <c r="T40" s="1">
        <v>1</v>
      </c>
      <c r="U40" s="8">
        <v>0</v>
      </c>
      <c r="V40" s="20">
        <v>22</v>
      </c>
      <c r="W40" s="9">
        <f>(V40-T40)*E40</f>
        <v>840</v>
      </c>
      <c r="X40" s="1">
        <v>148</v>
      </c>
      <c r="Y40" s="1">
        <f>(X40-V40)*E40</f>
        <v>5040</v>
      </c>
      <c r="Z40" s="1">
        <v>263</v>
      </c>
      <c r="AA40" s="9">
        <f>(Z40-X40)*E40+120</f>
        <v>4720</v>
      </c>
      <c r="AB40" s="1">
        <v>410</v>
      </c>
      <c r="AC40" s="5">
        <f>(AB40-Z40)*E40-120</f>
        <v>5760</v>
      </c>
      <c r="AD40" s="1">
        <v>504</v>
      </c>
      <c r="AE40" s="1">
        <f>(AD40-AB40)*E40</f>
        <v>3760</v>
      </c>
    </row>
    <row r="41" spans="1:31" ht="15">
      <c r="A41" s="34"/>
      <c r="B41" s="30"/>
      <c r="C41" s="28"/>
      <c r="D41" s="28"/>
      <c r="E41" s="28"/>
      <c r="F41" s="1" t="s">
        <v>18</v>
      </c>
      <c r="G41" s="1"/>
      <c r="H41" s="1"/>
      <c r="I41" s="1"/>
      <c r="J41" s="1"/>
      <c r="K41" s="8"/>
      <c r="L41" s="1"/>
      <c r="M41" s="1"/>
      <c r="N41" s="1"/>
      <c r="O41" s="1"/>
      <c r="P41" s="1"/>
      <c r="Q41" s="1"/>
      <c r="R41" s="9"/>
      <c r="S41" s="1"/>
      <c r="T41" s="1">
        <v>1</v>
      </c>
      <c r="U41" s="8">
        <v>0</v>
      </c>
      <c r="V41" s="20">
        <v>23</v>
      </c>
      <c r="W41" s="9">
        <f>(V41-T41)*E40</f>
        <v>880</v>
      </c>
      <c r="X41" s="1">
        <v>141</v>
      </c>
      <c r="Y41" s="1">
        <f>(X41-V41)*E40</f>
        <v>4720</v>
      </c>
      <c r="Z41" s="1">
        <v>266</v>
      </c>
      <c r="AA41" s="9">
        <f>(Z41-X41)*E40-120</f>
        <v>4880</v>
      </c>
      <c r="AB41" s="1">
        <v>413</v>
      </c>
      <c r="AC41" s="5">
        <f>(AB41-Z41)*E40+120</f>
        <v>6000</v>
      </c>
      <c r="AD41" s="1">
        <v>511</v>
      </c>
      <c r="AE41" s="1">
        <f>(AD41-AB41)*E40</f>
        <v>3920</v>
      </c>
    </row>
    <row r="42" spans="1:31" ht="15">
      <c r="A42" s="34"/>
      <c r="B42" s="31">
        <v>13</v>
      </c>
      <c r="C42" s="28">
        <v>699907</v>
      </c>
      <c r="D42" s="28" t="s">
        <v>16</v>
      </c>
      <c r="E42" s="28">
        <v>40</v>
      </c>
      <c r="F42" s="1" t="s">
        <v>17</v>
      </c>
      <c r="G42" s="1">
        <v>11801</v>
      </c>
      <c r="H42" s="1">
        <v>11939</v>
      </c>
      <c r="I42" s="1">
        <f>(H42-G42)*E42</f>
        <v>5520</v>
      </c>
      <c r="J42" s="1">
        <v>12073</v>
      </c>
      <c r="K42" s="8">
        <f>(J42-H42)*E42</f>
        <v>5360</v>
      </c>
      <c r="L42" s="1">
        <v>12193</v>
      </c>
      <c r="M42" s="1">
        <f>(L42-J42)*E42</f>
        <v>4800</v>
      </c>
      <c r="N42" s="1">
        <v>12267</v>
      </c>
      <c r="O42" s="1">
        <f>(N42-L42)*E42</f>
        <v>2960</v>
      </c>
      <c r="P42" s="1">
        <v>12348</v>
      </c>
      <c r="Q42" s="1">
        <f>(P42-N42)*E42</f>
        <v>3240</v>
      </c>
      <c r="R42" s="1">
        <f>12423-34.9</f>
        <v>12388.1</v>
      </c>
      <c r="S42" s="1">
        <f>(R42-P42)*E42+2700</f>
        <v>4304.000000000015</v>
      </c>
      <c r="T42" s="19">
        <f>12489+10.3</f>
        <v>12499.3</v>
      </c>
      <c r="U42" s="8">
        <f>(T42-R42)*E42</f>
        <v>4447.999999999956</v>
      </c>
      <c r="V42" s="1">
        <f>12543-21.525</f>
        <v>12521.475</v>
      </c>
      <c r="W42" s="9">
        <f>(V42-T42)*E42</f>
        <v>887.0000000000437</v>
      </c>
      <c r="X42" s="43" t="s">
        <v>40</v>
      </c>
      <c r="Y42" s="1">
        <v>0</v>
      </c>
      <c r="Z42" s="1"/>
      <c r="AA42" s="9">
        <v>0</v>
      </c>
      <c r="AB42" s="1"/>
      <c r="AC42" s="1">
        <f>(AB42-Z42)*E42</f>
        <v>0</v>
      </c>
      <c r="AD42" s="1"/>
      <c r="AE42" s="1">
        <f>(AD42-AB42)*E42</f>
        <v>0</v>
      </c>
    </row>
    <row r="43" spans="1:31" ht="15">
      <c r="A43" s="34"/>
      <c r="B43" s="30"/>
      <c r="C43" s="28"/>
      <c r="D43" s="28"/>
      <c r="E43" s="28"/>
      <c r="F43" s="1" t="s">
        <v>18</v>
      </c>
      <c r="G43" s="1">
        <v>8894</v>
      </c>
      <c r="H43" s="1">
        <v>9013</v>
      </c>
      <c r="I43" s="1">
        <f>(H43-G43)*E42</f>
        <v>4760</v>
      </c>
      <c r="J43" s="1">
        <v>9115</v>
      </c>
      <c r="K43" s="8">
        <f>(J43-H43)*E42</f>
        <v>4080</v>
      </c>
      <c r="L43" s="1">
        <v>9211</v>
      </c>
      <c r="M43" s="1">
        <f>(L43-J43)*E42</f>
        <v>3840</v>
      </c>
      <c r="N43" s="1">
        <v>9262</v>
      </c>
      <c r="O43" s="1">
        <f>(N43-L43)*E42</f>
        <v>2040</v>
      </c>
      <c r="P43" s="1">
        <v>9319</v>
      </c>
      <c r="Q43" s="1">
        <f>(P43-N43)*E42</f>
        <v>2280</v>
      </c>
      <c r="R43" s="9">
        <f>9372-24.8</f>
        <v>9347.2</v>
      </c>
      <c r="S43" s="1">
        <f>(R43-P43)*E42+1900</f>
        <v>3028.000000000029</v>
      </c>
      <c r="T43" s="17">
        <f>9427-1.575</f>
        <v>9425.425</v>
      </c>
      <c r="U43" s="8">
        <f>(T43-R43)*E42</f>
        <v>3128.999999999942</v>
      </c>
      <c r="V43" s="1">
        <f>9459-5.075</f>
        <v>9453.925</v>
      </c>
      <c r="W43" s="9">
        <f>(V43-T43)*E42</f>
        <v>1140</v>
      </c>
      <c r="X43" s="44"/>
      <c r="Y43" s="1">
        <v>0</v>
      </c>
      <c r="Z43" s="1"/>
      <c r="AA43" s="9">
        <f>(Z43-X43)*E42</f>
        <v>0</v>
      </c>
      <c r="AB43" s="1"/>
      <c r="AC43" s="1">
        <f>(AB43-Z43)*E42</f>
        <v>0</v>
      </c>
      <c r="AD43" s="1"/>
      <c r="AE43" s="1">
        <f>(AD43-AB43)*E42</f>
        <v>0</v>
      </c>
    </row>
    <row r="44" spans="1:31" ht="15">
      <c r="A44" s="34"/>
      <c r="B44" s="31"/>
      <c r="C44" s="28">
        <v>333478</v>
      </c>
      <c r="D44" s="28" t="s">
        <v>16</v>
      </c>
      <c r="E44" s="28">
        <v>40</v>
      </c>
      <c r="F44" s="1" t="s">
        <v>17</v>
      </c>
      <c r="G44" s="1"/>
      <c r="H44" s="1"/>
      <c r="I44" s="1"/>
      <c r="J44" s="1"/>
      <c r="K44" s="8"/>
      <c r="L44" s="1"/>
      <c r="M44" s="1"/>
      <c r="N44" s="1"/>
      <c r="O44" s="1"/>
      <c r="P44" s="1"/>
      <c r="Q44" s="1"/>
      <c r="R44" s="9"/>
      <c r="S44" s="1"/>
      <c r="T44" s="1">
        <v>1</v>
      </c>
      <c r="U44" s="8">
        <v>0</v>
      </c>
      <c r="V44" s="20">
        <v>15</v>
      </c>
      <c r="W44" s="9">
        <f>(V44-T44)*E44</f>
        <v>560</v>
      </c>
      <c r="X44" s="1">
        <v>121</v>
      </c>
      <c r="Y44" s="1">
        <f>(X44-V44)*E44</f>
        <v>4240</v>
      </c>
      <c r="Z44" s="1">
        <v>215</v>
      </c>
      <c r="AA44" s="9">
        <f>(Z44-X44)*E44</f>
        <v>3760</v>
      </c>
      <c r="AB44" s="1">
        <v>333</v>
      </c>
      <c r="AC44" s="5">
        <f>(AB44-Z44)*E44</f>
        <v>4720</v>
      </c>
      <c r="AD44" s="1">
        <v>412</v>
      </c>
      <c r="AE44" s="1">
        <f>(AD44-AB44)*E44</f>
        <v>3160</v>
      </c>
    </row>
    <row r="45" spans="1:31" ht="15">
      <c r="A45" s="34"/>
      <c r="B45" s="30"/>
      <c r="C45" s="28"/>
      <c r="D45" s="28"/>
      <c r="E45" s="28"/>
      <c r="F45" s="1" t="s">
        <v>18</v>
      </c>
      <c r="G45" s="1"/>
      <c r="H45" s="1"/>
      <c r="I45" s="1"/>
      <c r="J45" s="1"/>
      <c r="K45" s="8"/>
      <c r="L45" s="1"/>
      <c r="M45" s="1"/>
      <c r="N45" s="1"/>
      <c r="O45" s="1"/>
      <c r="P45" s="1"/>
      <c r="Q45" s="1"/>
      <c r="R45" s="9"/>
      <c r="S45" s="1"/>
      <c r="T45" s="1">
        <v>1</v>
      </c>
      <c r="U45" s="8">
        <v>0</v>
      </c>
      <c r="V45" s="20">
        <v>19</v>
      </c>
      <c r="W45" s="9">
        <f>(V45-T45)*E44</f>
        <v>720</v>
      </c>
      <c r="X45" s="1">
        <v>101</v>
      </c>
      <c r="Y45" s="1">
        <f>(X45-V45)*E44</f>
        <v>3280</v>
      </c>
      <c r="Z45" s="1">
        <v>190</v>
      </c>
      <c r="AA45" s="9">
        <f>(Z45-X45)*E44</f>
        <v>3560</v>
      </c>
      <c r="AB45" s="1">
        <v>294</v>
      </c>
      <c r="AC45" s="5">
        <f>(AB45-Z45)*E44</f>
        <v>4160</v>
      </c>
      <c r="AD45" s="1">
        <v>360</v>
      </c>
      <c r="AE45" s="1">
        <f>(AD45-AB45)*E44</f>
        <v>2640</v>
      </c>
    </row>
    <row r="46" spans="1:31" ht="15">
      <c r="A46" s="34"/>
      <c r="B46" s="31">
        <v>14</v>
      </c>
      <c r="C46" s="28">
        <v>952879</v>
      </c>
      <c r="D46" s="29" t="s">
        <v>21</v>
      </c>
      <c r="E46" s="28">
        <v>1</v>
      </c>
      <c r="F46" s="1" t="s">
        <v>17</v>
      </c>
      <c r="G46" s="1">
        <v>89223</v>
      </c>
      <c r="H46" s="1">
        <v>90020</v>
      </c>
      <c r="I46" s="1">
        <f>(H46-G46)*E46</f>
        <v>797</v>
      </c>
      <c r="J46" s="1">
        <v>90631</v>
      </c>
      <c r="K46" s="8">
        <f>(J46-H46)*E46</f>
        <v>611</v>
      </c>
      <c r="L46" s="1">
        <v>91113</v>
      </c>
      <c r="M46" s="1">
        <f>(L46-J46)*E46</f>
        <v>482</v>
      </c>
      <c r="N46" s="1">
        <v>91412</v>
      </c>
      <c r="O46" s="1">
        <f>(N46-L46)*E46</f>
        <v>299</v>
      </c>
      <c r="P46" s="1">
        <v>91802</v>
      </c>
      <c r="Q46" s="1">
        <f>(P46-N46)*E46</f>
        <v>390</v>
      </c>
      <c r="R46" s="1">
        <f>92159-180</f>
        <v>91979</v>
      </c>
      <c r="S46" s="1">
        <f>(R46-P46)*E46+325</f>
        <v>502</v>
      </c>
      <c r="T46" s="1">
        <f>92517-19</f>
        <v>92498</v>
      </c>
      <c r="U46" s="8">
        <f>(T46-R46)*E46</f>
        <v>519</v>
      </c>
      <c r="V46" s="1">
        <f>92821-104</f>
        <v>92717</v>
      </c>
      <c r="W46" s="9">
        <f>(V46-T46)*E46</f>
        <v>219</v>
      </c>
      <c r="X46" s="43" t="s">
        <v>40</v>
      </c>
      <c r="Y46" s="1">
        <v>0</v>
      </c>
      <c r="Z46" s="1"/>
      <c r="AA46" s="9">
        <v>0</v>
      </c>
      <c r="AB46" s="1"/>
      <c r="AC46" s="1">
        <f>(AB46-Z46)*E46</f>
        <v>0</v>
      </c>
      <c r="AD46" s="1"/>
      <c r="AE46" s="1">
        <f>(AD46-AB46)*E46</f>
        <v>0</v>
      </c>
    </row>
    <row r="47" spans="1:31" ht="15">
      <c r="A47" s="34"/>
      <c r="B47" s="30"/>
      <c r="C47" s="28"/>
      <c r="D47" s="30"/>
      <c r="E47" s="28"/>
      <c r="F47" s="1" t="s">
        <v>18</v>
      </c>
      <c r="G47" s="1">
        <v>99362</v>
      </c>
      <c r="H47" s="1">
        <v>100228</v>
      </c>
      <c r="I47" s="1">
        <f>(H47-G47)*E46</f>
        <v>866</v>
      </c>
      <c r="J47" s="1">
        <v>100994</v>
      </c>
      <c r="K47" s="8">
        <f>(J47-H47)*E46</f>
        <v>766</v>
      </c>
      <c r="L47" s="1">
        <v>101597</v>
      </c>
      <c r="M47" s="1">
        <f>(L47-J47)*E46</f>
        <v>603</v>
      </c>
      <c r="N47" s="1">
        <v>101952</v>
      </c>
      <c r="O47" s="1">
        <f>(N47-L47)*E46</f>
        <v>355</v>
      </c>
      <c r="P47" s="1">
        <v>102482</v>
      </c>
      <c r="Q47" s="1">
        <f>(P47-N47)*E46</f>
        <v>530</v>
      </c>
      <c r="R47" s="1">
        <f>102960-242</f>
        <v>102718</v>
      </c>
      <c r="S47" s="1">
        <f>(R47-P47)*E46+442</f>
        <v>678</v>
      </c>
      <c r="T47" s="1">
        <f>103481-63</f>
        <v>103418</v>
      </c>
      <c r="U47" s="8">
        <f>(T47-R47)*E46</f>
        <v>700</v>
      </c>
      <c r="V47" s="1">
        <f>103910-335</f>
        <v>103575</v>
      </c>
      <c r="W47" s="9">
        <f>(V47-T47)*E46</f>
        <v>157</v>
      </c>
      <c r="X47" s="44"/>
      <c r="Y47" s="1">
        <v>0</v>
      </c>
      <c r="Z47" s="1"/>
      <c r="AA47" s="9">
        <f>(Z47-X47)*E46</f>
        <v>0</v>
      </c>
      <c r="AB47" s="1"/>
      <c r="AC47" s="1">
        <f>(AB47-Z47)*E46</f>
        <v>0</v>
      </c>
      <c r="AD47" s="1"/>
      <c r="AE47" s="1">
        <f>(AD47-AB47)*E46</f>
        <v>0</v>
      </c>
    </row>
    <row r="48" spans="1:31" ht="15">
      <c r="A48" s="34"/>
      <c r="B48" s="31"/>
      <c r="C48" s="28">
        <v>340747</v>
      </c>
      <c r="D48" s="29" t="s">
        <v>21</v>
      </c>
      <c r="E48" s="28">
        <v>1</v>
      </c>
      <c r="F48" s="1" t="s">
        <v>17</v>
      </c>
      <c r="G48" s="1"/>
      <c r="H48" s="1"/>
      <c r="I48" s="1"/>
      <c r="J48" s="1"/>
      <c r="K48" s="8"/>
      <c r="L48" s="1"/>
      <c r="M48" s="1"/>
      <c r="N48" s="1"/>
      <c r="O48" s="1"/>
      <c r="P48" s="1"/>
      <c r="Q48" s="1"/>
      <c r="R48" s="1"/>
      <c r="S48" s="1"/>
      <c r="T48" s="1">
        <v>1</v>
      </c>
      <c r="U48" s="8">
        <v>0</v>
      </c>
      <c r="V48" s="20">
        <v>139</v>
      </c>
      <c r="W48" s="9">
        <f>(V48-T48)*E48</f>
        <v>138</v>
      </c>
      <c r="X48" s="1">
        <v>485</v>
      </c>
      <c r="Y48" s="1">
        <f>(X48-V48)*E48</f>
        <v>346</v>
      </c>
      <c r="Z48" s="1">
        <v>903</v>
      </c>
      <c r="AA48" s="9">
        <f>(Z48-X48)*E48</f>
        <v>418</v>
      </c>
      <c r="AB48" s="1">
        <v>1470</v>
      </c>
      <c r="AC48" s="5">
        <f>(AB48-Z48)*E48</f>
        <v>567</v>
      </c>
      <c r="AD48" s="1">
        <v>1815</v>
      </c>
      <c r="AE48" s="1">
        <f>(AD48-AB48)*E48</f>
        <v>345</v>
      </c>
    </row>
    <row r="49" spans="1:31" ht="15">
      <c r="A49" s="34"/>
      <c r="B49" s="30"/>
      <c r="C49" s="28"/>
      <c r="D49" s="30"/>
      <c r="E49" s="28"/>
      <c r="F49" s="1" t="s">
        <v>18</v>
      </c>
      <c r="G49" s="1"/>
      <c r="H49" s="1"/>
      <c r="I49" s="1"/>
      <c r="J49" s="1"/>
      <c r="K49" s="8"/>
      <c r="L49" s="1"/>
      <c r="M49" s="1"/>
      <c r="N49" s="1"/>
      <c r="O49" s="1"/>
      <c r="P49" s="1"/>
      <c r="Q49" s="1"/>
      <c r="R49" s="1"/>
      <c r="S49" s="1"/>
      <c r="T49" s="1">
        <v>1</v>
      </c>
      <c r="U49" s="8">
        <v>0</v>
      </c>
      <c r="V49" s="20">
        <v>100</v>
      </c>
      <c r="W49" s="9">
        <f>(V49-T49)*E48</f>
        <v>99</v>
      </c>
      <c r="X49" s="1">
        <v>650</v>
      </c>
      <c r="Y49" s="1">
        <f>(X49-V49)*E48</f>
        <v>550</v>
      </c>
      <c r="Z49" s="1">
        <v>1240</v>
      </c>
      <c r="AA49" s="9">
        <f>(Z49-X49)*E48</f>
        <v>590</v>
      </c>
      <c r="AB49" s="1">
        <v>1975</v>
      </c>
      <c r="AC49" s="5">
        <f>(AB49-Z49)*E48</f>
        <v>735</v>
      </c>
      <c r="AD49" s="1">
        <v>2384</v>
      </c>
      <c r="AE49" s="1">
        <f>(AD49-AB49)*E48</f>
        <v>409</v>
      </c>
    </row>
    <row r="50" spans="1:31" ht="15" customHeight="1">
      <c r="A50" s="34"/>
      <c r="B50" s="31">
        <v>11</v>
      </c>
      <c r="C50" s="32">
        <v>960365</v>
      </c>
      <c r="D50" s="28" t="s">
        <v>19</v>
      </c>
      <c r="E50" s="28">
        <v>10</v>
      </c>
      <c r="F50" s="1" t="s">
        <v>17</v>
      </c>
      <c r="G50" s="1">
        <v>10048</v>
      </c>
      <c r="H50" s="1">
        <v>10048</v>
      </c>
      <c r="I50" s="1">
        <f>(H50-G50)*E50</f>
        <v>0</v>
      </c>
      <c r="J50" s="1">
        <v>10048</v>
      </c>
      <c r="K50" s="8">
        <f>(J50-H50)*E50</f>
        <v>0</v>
      </c>
      <c r="L50" s="1">
        <v>10048</v>
      </c>
      <c r="M50" s="1">
        <f>(L50-J50)*E50</f>
        <v>0</v>
      </c>
      <c r="N50" s="1">
        <v>10048</v>
      </c>
      <c r="O50" s="1">
        <f>(N50-L50)*E50</f>
        <v>0</v>
      </c>
      <c r="P50" s="1">
        <v>10048</v>
      </c>
      <c r="Q50" s="1">
        <f>(P50-N50)*E50</f>
        <v>0</v>
      </c>
      <c r="R50" s="1">
        <f>10048+0.6</f>
        <v>10048.6</v>
      </c>
      <c r="S50" s="1">
        <f>(R50-P50)*E50</f>
        <v>6.000000000003638</v>
      </c>
      <c r="T50" s="1">
        <f>10049+0.2</f>
        <v>10049.2</v>
      </c>
      <c r="U50" s="8">
        <f>(T50-R50)*E50</f>
        <v>6.000000000003638</v>
      </c>
      <c r="V50" s="1">
        <f>10050+21</f>
        <v>10071</v>
      </c>
      <c r="W50" s="9">
        <f>(V50-T50)*E50</f>
        <v>217.99999999999272</v>
      </c>
      <c r="X50" s="43" t="s">
        <v>40</v>
      </c>
      <c r="Y50" s="1">
        <v>0</v>
      </c>
      <c r="Z50" s="1"/>
      <c r="AA50" s="1">
        <v>0</v>
      </c>
      <c r="AB50" s="1"/>
      <c r="AC50" s="1">
        <f>(AB50-Z50)*E50</f>
        <v>0</v>
      </c>
      <c r="AD50" s="1"/>
      <c r="AE50" s="1">
        <f>(AD50-AB50)*E50</f>
        <v>0</v>
      </c>
    </row>
    <row r="51" spans="1:31" ht="15">
      <c r="A51" s="34"/>
      <c r="B51" s="30"/>
      <c r="C51" s="32"/>
      <c r="D51" s="28"/>
      <c r="E51" s="28"/>
      <c r="F51" s="1" t="s">
        <v>18</v>
      </c>
      <c r="G51" s="1">
        <v>10374</v>
      </c>
      <c r="H51" s="1">
        <v>10457</v>
      </c>
      <c r="I51" s="1">
        <f>(H51-G51)*E50</f>
        <v>830</v>
      </c>
      <c r="J51" s="1">
        <v>10539</v>
      </c>
      <c r="K51" s="8">
        <f>(J51-H51)*E50</f>
        <v>820</v>
      </c>
      <c r="L51" s="1">
        <v>10618</v>
      </c>
      <c r="M51" s="1">
        <f>(L51-J51)*E50</f>
        <v>790</v>
      </c>
      <c r="N51" s="1">
        <v>10660</v>
      </c>
      <c r="O51" s="1">
        <f>(N51-L51)*E50</f>
        <v>420</v>
      </c>
      <c r="P51" s="1">
        <v>10715</v>
      </c>
      <c r="Q51" s="1">
        <f>(P51-N51)*E50</f>
        <v>550</v>
      </c>
      <c r="R51" s="1">
        <f>10771-26.7</f>
        <v>10744.3</v>
      </c>
      <c r="S51" s="1">
        <f>(R51-P51)*E50+442</f>
        <v>734.9999999999927</v>
      </c>
      <c r="T51" s="1">
        <f>10830-9.8</f>
        <v>10820.2</v>
      </c>
      <c r="U51" s="8">
        <f>(T51-R51)*E50</f>
        <v>759.0000000000146</v>
      </c>
      <c r="V51" s="1">
        <f>10878-42.6</f>
        <v>10835.4</v>
      </c>
      <c r="W51" s="9">
        <f>(V51-T51)*E50</f>
        <v>151.9999999999891</v>
      </c>
      <c r="X51" s="44"/>
      <c r="Y51" s="1">
        <v>0</v>
      </c>
      <c r="Z51" s="1"/>
      <c r="AA51" s="1">
        <f>(Z51-X51)*E50</f>
        <v>0</v>
      </c>
      <c r="AB51" s="1"/>
      <c r="AC51" s="1">
        <f>(AB51-Z51)*E50</f>
        <v>0</v>
      </c>
      <c r="AD51" s="1"/>
      <c r="AE51" s="1">
        <f>(AD51-AB51)*E50</f>
        <v>0</v>
      </c>
    </row>
    <row r="52" spans="1:31" ht="15">
      <c r="A52" s="34"/>
      <c r="B52" s="31"/>
      <c r="C52" s="32">
        <v>340742</v>
      </c>
      <c r="D52" s="28" t="s">
        <v>19</v>
      </c>
      <c r="E52" s="28">
        <v>1</v>
      </c>
      <c r="F52" s="1" t="s">
        <v>17</v>
      </c>
      <c r="G52" s="1"/>
      <c r="H52" s="1"/>
      <c r="I52" s="1"/>
      <c r="J52" s="1"/>
      <c r="K52" s="8"/>
      <c r="L52" s="1"/>
      <c r="M52" s="1"/>
      <c r="N52" s="1"/>
      <c r="O52" s="1"/>
      <c r="P52" s="1"/>
      <c r="Q52" s="1"/>
      <c r="R52" s="1"/>
      <c r="S52" s="1"/>
      <c r="T52" s="1">
        <v>1</v>
      </c>
      <c r="U52" s="8">
        <v>0</v>
      </c>
      <c r="V52" s="20">
        <v>139</v>
      </c>
      <c r="W52" s="9">
        <f>(V52-T52)*E52</f>
        <v>138</v>
      </c>
      <c r="X52" s="1">
        <v>760</v>
      </c>
      <c r="Y52" s="1">
        <f>(X52-V52)*E52</f>
        <v>621</v>
      </c>
      <c r="Z52" s="1">
        <v>1388</v>
      </c>
      <c r="AA52" s="1">
        <f>(Z52-X52)*E52</f>
        <v>628</v>
      </c>
      <c r="AB52" s="1">
        <v>2177</v>
      </c>
      <c r="AC52" s="5">
        <f>(AB52-Z52)*E52</f>
        <v>789</v>
      </c>
      <c r="AD52" s="1">
        <v>2693</v>
      </c>
      <c r="AE52" s="1">
        <f>(AD52-AB52)*E52</f>
        <v>516</v>
      </c>
    </row>
    <row r="53" spans="1:31" ht="15">
      <c r="A53" s="34"/>
      <c r="B53" s="30"/>
      <c r="C53" s="32"/>
      <c r="D53" s="28"/>
      <c r="E53" s="28"/>
      <c r="F53" s="1" t="s">
        <v>18</v>
      </c>
      <c r="G53" s="1"/>
      <c r="H53" s="1"/>
      <c r="I53" s="1"/>
      <c r="J53" s="1"/>
      <c r="K53" s="8"/>
      <c r="L53" s="1"/>
      <c r="M53" s="1"/>
      <c r="N53" s="1"/>
      <c r="O53" s="1"/>
      <c r="P53" s="1"/>
      <c r="Q53" s="1"/>
      <c r="R53" s="1"/>
      <c r="S53" s="1"/>
      <c r="T53" s="1">
        <v>1</v>
      </c>
      <c r="U53" s="8">
        <v>0</v>
      </c>
      <c r="V53" s="20">
        <v>97</v>
      </c>
      <c r="W53" s="9">
        <f>(V53-T53)*E52</f>
        <v>96</v>
      </c>
      <c r="X53" s="1">
        <v>752</v>
      </c>
      <c r="Y53" s="1">
        <f>(X53-V53)*E52</f>
        <v>655</v>
      </c>
      <c r="Z53" s="1">
        <v>1398</v>
      </c>
      <c r="AA53" s="1">
        <f>(Z53-X53)*E52</f>
        <v>646</v>
      </c>
      <c r="AB53" s="1">
        <v>2188</v>
      </c>
      <c r="AC53" s="5">
        <f>(AB53-Z53)*E52</f>
        <v>790</v>
      </c>
      <c r="AD53" s="1">
        <v>2658</v>
      </c>
      <c r="AE53" s="1">
        <f>(AD53-AB53)*E52</f>
        <v>470</v>
      </c>
    </row>
    <row r="54" spans="1:31" ht="15">
      <c r="A54" s="34"/>
      <c r="B54" s="15"/>
      <c r="C54" s="37" t="s">
        <v>22</v>
      </c>
      <c r="D54" s="38"/>
      <c r="E54" s="39"/>
      <c r="F54" s="5" t="s">
        <v>17</v>
      </c>
      <c r="G54" s="6">
        <f aca="true" t="shared" si="0" ref="G54:K55">G4+G8+G10+G14+G18+G22+G26+G28+G30+G34+G38+G42+G46+G50</f>
        <v>297770</v>
      </c>
      <c r="H54" s="6">
        <f t="shared" si="0"/>
        <v>301071</v>
      </c>
      <c r="I54" s="6">
        <f t="shared" si="0"/>
        <v>27129</v>
      </c>
      <c r="J54" s="6">
        <f t="shared" si="0"/>
        <v>304070</v>
      </c>
      <c r="K54" s="6">
        <f t="shared" si="0"/>
        <v>25862</v>
      </c>
      <c r="L54" s="6"/>
      <c r="M54" s="6">
        <f>M4+M8+M10+M14+M18+M22+M26+M28+M30+M34+M38+M42+M46+M50</f>
        <v>24832</v>
      </c>
      <c r="N54" s="6"/>
      <c r="O54" s="6">
        <f>O4+O8+O10+O14+O18+O22+O26+O28+O30+O34+O38+O42+O46+O50</f>
        <v>15700</v>
      </c>
      <c r="P54" s="6"/>
      <c r="Q54" s="6">
        <f>Q4+Q8+Q10+Q14+Q18+Q22+Q26+Q28+Q30+Q34+Q38+Q42+Q46+Q50</f>
        <v>19646</v>
      </c>
      <c r="R54" s="6"/>
      <c r="S54" s="6">
        <f>S4+S8+S10+S14+S18+S22+S26+S28+S30+S34+S38+S42+S46+S50</f>
        <v>25523.000000000127</v>
      </c>
      <c r="T54" s="6"/>
      <c r="U54" s="14">
        <f>U4+U8+U10+U14+U18+U22+U26+U28+U30+U34+U38+U42+U46+U50</f>
        <v>26508.99865499986</v>
      </c>
      <c r="V54" s="6"/>
      <c r="W54" s="14">
        <f>W4+W6+W8+W10+W12+W14+W16+W18+W20+W22+W24+W26+W28+W30+W32+W34+W36+W38+W40+W42+W44+W46+W48+W50+W52</f>
        <v>16039.000054999984</v>
      </c>
      <c r="X54" s="18"/>
      <c r="Y54" s="14">
        <f>Y4+Y6+Y8+Y10+Y12+Y14+Y16+Y18+Y20+Y22+Y24+Y26+Y28+Y30+Y32+Y34+Y36+Y38+Y40+Y42+Y44+Y46+Y48+Y50+Y52</f>
        <v>24850.999890000003</v>
      </c>
      <c r="Z54" s="18"/>
      <c r="AA54" s="14">
        <f>AA4+AA6+AA8+AA10+AA12+AA14+AA16+AA18+AA20+AA22+AA24+AA26+AA28+AA30+AA32+AA34+AA36+AA38+AA40+AA42+AA44+AA46+AA48+AA50+AA52</f>
        <v>22132</v>
      </c>
      <c r="AB54" s="18"/>
      <c r="AC54" s="14">
        <f>AC4+AC6+AC8+AC10+AC12+AC14+AC16+AC18+AC20+AC22+AC24+AC26+AC28+AC30+AC32+AC34+AC36+AC38+AC40+AC42+AC44+AC46+AC48+AC50+AC52</f>
        <v>28517</v>
      </c>
      <c r="AD54" s="18"/>
      <c r="AE54" s="14">
        <f>AE4+AE6+AE8+AE10+AE12+AE14+AE16+AE18+AE20+AE22+AE24+AE26+AE28+AE30+AE32+AE34+AE36+AE38+AE40+AE42+AE44+AE46+AE48+AE50+AE52</f>
        <v>18768</v>
      </c>
    </row>
    <row r="55" spans="1:31" ht="15">
      <c r="A55" s="34"/>
      <c r="B55" s="15"/>
      <c r="C55" s="40"/>
      <c r="D55" s="41"/>
      <c r="E55" s="42"/>
      <c r="F55" s="5" t="s">
        <v>18</v>
      </c>
      <c r="G55" s="6">
        <f t="shared" si="0"/>
        <v>319142</v>
      </c>
      <c r="H55" s="6">
        <f t="shared" si="0"/>
        <v>322310</v>
      </c>
      <c r="I55" s="6">
        <f t="shared" si="0"/>
        <v>30127</v>
      </c>
      <c r="J55" s="6">
        <f t="shared" si="0"/>
        <v>325090</v>
      </c>
      <c r="K55" s="6">
        <f t="shared" si="0"/>
        <v>26730</v>
      </c>
      <c r="L55" s="6"/>
      <c r="M55" s="6">
        <f>M5+M9+M11+M15+M19+M23+M27+M29+M31+M35+M39+M43+M47+M51</f>
        <v>23887</v>
      </c>
      <c r="N55" s="6"/>
      <c r="O55" s="6">
        <f>O5+O9+O11+O15+O19+O23+O27+O29+O31+O35+O39+O43+O47+O51</f>
        <v>13450</v>
      </c>
      <c r="P55" s="6"/>
      <c r="Q55" s="6">
        <f>Q5+Q9+Q11+Q15+Q19+Q23+Q27+Q29+Q31+Q35+Q39+Q43+Q47+Q51</f>
        <v>16986</v>
      </c>
      <c r="R55" s="6"/>
      <c r="S55" s="6">
        <f>S5+S9+S11+S15+S19+S23+S27+S29+S31+S35+S39+S43+S47+S51</f>
        <v>22355.00000000003</v>
      </c>
      <c r="T55" s="6"/>
      <c r="U55" s="6">
        <f>U5+U9+U11+U15+U19+U23+U27+U29+U31+U35+U39+U43+U47+U51</f>
        <v>23287.00003999996</v>
      </c>
      <c r="V55" s="6"/>
      <c r="W55" s="14">
        <f>W5+W7+W9+W11+W13+W15+W17+W19+W21+W23+W25+W27+W29+W31+W33+W35+W37+W39+W41+W43+W45+W47+W49+W51+W53</f>
        <v>17887.000500000016</v>
      </c>
      <c r="X55" s="18"/>
      <c r="Y55" s="14">
        <f>Y5+Y7+Y9+Y11+Y13+Y15+Y17+Y19+Y21+Y23+Y25+Y27+Y29+Y31+Y33+Y35+Y37+Y39+Y41+Y43+Y45+Y47+Y49+Y51+Y53</f>
        <v>19675.999999999996</v>
      </c>
      <c r="Z55" s="18"/>
      <c r="AA55" s="14">
        <f>AA5+AA7+AA9+AA11+AA13+AA15+AA17+AA19+AA21+AA23+AA25+AA27+AA29+AA31+AA33+AA35+AA37+AA39+AA41+AA43+AA45+AA47+AA49+AA51+AA53</f>
        <v>22872</v>
      </c>
      <c r="AB55" s="18"/>
      <c r="AC55" s="14">
        <f>AC5+AC7+AC9+AC11+AC13+AC15+AC17+AC19+AC21+AC23+AC25+AC27+AC29+AC31+AC33+AC35+AC37+AC39+AC41+AC43+AC45+AC47+AC49+AC51+AC53</f>
        <v>24451</v>
      </c>
      <c r="AD55" s="18"/>
      <c r="AE55" s="14">
        <f>AE5+AE7+AE9+AE11+AE13+AE15+AE17+AE19+AE21+AE23+AE25+AE27+AE29+AE31+AE33+AE35+AE37+AE39+AE41+AE43+AE45+AE47+AE49+AE51+AE53</f>
        <v>17578</v>
      </c>
    </row>
  </sheetData>
  <sheetProtection/>
  <mergeCells count="113">
    <mergeCell ref="X38:X39"/>
    <mergeCell ref="X42:X43"/>
    <mergeCell ref="X46:X47"/>
    <mergeCell ref="X50:X51"/>
    <mergeCell ref="X4:X5"/>
    <mergeCell ref="X10:X11"/>
    <mergeCell ref="X14:X15"/>
    <mergeCell ref="X34:X35"/>
    <mergeCell ref="X18:X19"/>
    <mergeCell ref="X22:X23"/>
    <mergeCell ref="X30:X31"/>
    <mergeCell ref="B50:B51"/>
    <mergeCell ref="C50:C51"/>
    <mergeCell ref="D50:D51"/>
    <mergeCell ref="E50:E51"/>
    <mergeCell ref="C54:E55"/>
    <mergeCell ref="B52:B53"/>
    <mergeCell ref="C52:C53"/>
    <mergeCell ref="D52:D53"/>
    <mergeCell ref="E52:E53"/>
    <mergeCell ref="B46:B47"/>
    <mergeCell ref="C46:C47"/>
    <mergeCell ref="D46:D47"/>
    <mergeCell ref="E46:E47"/>
    <mergeCell ref="B48:B49"/>
    <mergeCell ref="C48:C49"/>
    <mergeCell ref="D48:D49"/>
    <mergeCell ref="E48:E49"/>
    <mergeCell ref="B42:B43"/>
    <mergeCell ref="C42:C43"/>
    <mergeCell ref="D42:D43"/>
    <mergeCell ref="E42:E43"/>
    <mergeCell ref="B44:B45"/>
    <mergeCell ref="C44:C45"/>
    <mergeCell ref="D44:D45"/>
    <mergeCell ref="E44:E45"/>
    <mergeCell ref="B38:B39"/>
    <mergeCell ref="C38:C39"/>
    <mergeCell ref="D38:D39"/>
    <mergeCell ref="E38:E39"/>
    <mergeCell ref="B40:B41"/>
    <mergeCell ref="C40:C41"/>
    <mergeCell ref="D40:D41"/>
    <mergeCell ref="E40:E41"/>
    <mergeCell ref="B34:B35"/>
    <mergeCell ref="C34:C35"/>
    <mergeCell ref="D34:D35"/>
    <mergeCell ref="E34:E35"/>
    <mergeCell ref="B36:B37"/>
    <mergeCell ref="C36:C37"/>
    <mergeCell ref="D36:D37"/>
    <mergeCell ref="E36:E37"/>
    <mergeCell ref="B30:B31"/>
    <mergeCell ref="C30:C31"/>
    <mergeCell ref="D30:D31"/>
    <mergeCell ref="E30:E31"/>
    <mergeCell ref="B32:B33"/>
    <mergeCell ref="C32:C33"/>
    <mergeCell ref="D32:D33"/>
    <mergeCell ref="E32:E33"/>
    <mergeCell ref="B26:B27"/>
    <mergeCell ref="C26:C27"/>
    <mergeCell ref="D26:D27"/>
    <mergeCell ref="E26:E27"/>
    <mergeCell ref="B28:B29"/>
    <mergeCell ref="C28:C29"/>
    <mergeCell ref="D28:D29"/>
    <mergeCell ref="E28:E29"/>
    <mergeCell ref="C24:C25"/>
    <mergeCell ref="D24:D25"/>
    <mergeCell ref="E24:E25"/>
    <mergeCell ref="B22:B23"/>
    <mergeCell ref="C22:C23"/>
    <mergeCell ref="D22:D23"/>
    <mergeCell ref="E22:E23"/>
    <mergeCell ref="D20:D21"/>
    <mergeCell ref="E20:E21"/>
    <mergeCell ref="B18:B19"/>
    <mergeCell ref="C18:C19"/>
    <mergeCell ref="D18:D19"/>
    <mergeCell ref="E18:E19"/>
    <mergeCell ref="D16:D17"/>
    <mergeCell ref="E16:E17"/>
    <mergeCell ref="E12:E13"/>
    <mergeCell ref="B14:B15"/>
    <mergeCell ref="C14:C15"/>
    <mergeCell ref="D14:D15"/>
    <mergeCell ref="E14:E15"/>
    <mergeCell ref="D12:D13"/>
    <mergeCell ref="E4:E5"/>
    <mergeCell ref="B6:B7"/>
    <mergeCell ref="C6:C7"/>
    <mergeCell ref="D6:D7"/>
    <mergeCell ref="E6:E7"/>
    <mergeCell ref="D4:D5"/>
    <mergeCell ref="E8:E9"/>
    <mergeCell ref="B10:B11"/>
    <mergeCell ref="C10:C11"/>
    <mergeCell ref="D10:D11"/>
    <mergeCell ref="E10:E11"/>
    <mergeCell ref="B8:B9"/>
    <mergeCell ref="C8:C9"/>
    <mergeCell ref="D8:D9"/>
    <mergeCell ref="A4:A55"/>
    <mergeCell ref="B4:B5"/>
    <mergeCell ref="C4:C5"/>
    <mergeCell ref="B12:B13"/>
    <mergeCell ref="C12:C13"/>
    <mergeCell ref="B16:B17"/>
    <mergeCell ref="C16:C17"/>
    <mergeCell ref="B20:B21"/>
    <mergeCell ref="C20:C21"/>
    <mergeCell ref="B24:B25"/>
  </mergeCells>
  <printOptions/>
  <pageMargins left="0.31496062992125984" right="0" top="0.35433070866141736" bottom="0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2016-01-19T04:35:09Z</cp:lastPrinted>
  <dcterms:created xsi:type="dcterms:W3CDTF">2012-08-09T05:05:12Z</dcterms:created>
  <dcterms:modified xsi:type="dcterms:W3CDTF">2016-02-01T07:07:48Z</dcterms:modified>
  <cp:category/>
  <cp:version/>
  <cp:contentType/>
  <cp:contentStatus/>
</cp:coreProperties>
</file>