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45 (январь)" sheetId="1" r:id="rId1"/>
    <sheet name="45 (февраль)" sheetId="2" r:id="rId2"/>
    <sheet name="45 (март)" sheetId="3" r:id="rId3"/>
    <sheet name="45 (апрель)" sheetId="4" r:id="rId4"/>
    <sheet name="45 (май)" sheetId="5" r:id="rId5"/>
    <sheet name="45 (июнь)" sheetId="6" r:id="rId6"/>
    <sheet name="45 (июль)" sheetId="7" r:id="rId7"/>
    <sheet name="45 (август)" sheetId="8" r:id="rId8"/>
    <sheet name="45 (сентябрь)" sheetId="9" r:id="rId9"/>
    <sheet name="45 (октябрь)" sheetId="10" r:id="rId10"/>
    <sheet name="45 (ноябрь)" sheetId="11" r:id="rId11"/>
    <sheet name="45 (декабрь)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освещение=279,047
  квт/ч 
 из дома 41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освещение=565,615 квт/ч 
 из дома 41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183,900
  квт/ч из дома41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0
 квт/ч из 41 дома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190,67
  квт/ч из дома41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0
 квт/ч из 41 дома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освещение=210,977
  квт/ч 
 из дома 41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освещение=396,006 квт/ч 
 из дома 41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освещение=128,617
  квт/ч 
 из дома 41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освещение=394,126 квт/ч 
 из дома 41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освещение=96,275
  квт/ч 
 из дома 41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освещение=404,655квт/ч 
 из дома 41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освещение=25,949
  квт/ч 
 из дома 41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освещение=301,611квт/ч 
 из дома 41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освещение=7,521
  квт/ч 
 из дома 41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освещение=266,636квт/ч 
 из дома 41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освещение=10,530
  квт/ч 
 из дома 41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освещение=280,175квт/ч 
 из дома 41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освещение=26,701
  квт/ч 
 из дома 41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освещение=0 квт/ч 
 из дома 41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освещение=75,967
  квт/ч 
 из дома 41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освещение=0 квт/ч 
 из дома 41</t>
        </r>
      </text>
    </comment>
  </commentList>
</comments>
</file>

<file path=xl/sharedStrings.xml><?xml version="1.0" encoding="utf-8"?>
<sst xmlns="http://schemas.openxmlformats.org/spreadsheetml/2006/main" count="216" uniqueCount="40">
  <si>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</si>
  <si>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</si>
  <si>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</si>
  <si>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</si>
  <si>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</si>
  <si>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</si>
  <si>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</si>
  <si>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ГВС (тонн)</t>
  </si>
  <si>
    <t>водоотведение(тонн)</t>
  </si>
  <si>
    <t>объем потребления</t>
  </si>
  <si>
    <t>итого по эл.эн.</t>
  </si>
  <si>
    <t>Ухтомская 45</t>
  </si>
  <si>
    <t>ХВС (тонн)</t>
  </si>
  <si>
    <t>нагрев воды (Г.кал.)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</si>
  <si>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</si>
  <si>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</si>
  <si>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январь в феврале 2016г.</t>
  </si>
  <si>
    <t>83423,/84426</t>
  </si>
  <si>
    <t>Объем коммунальных услуг по показаниям общедомовых приборов учета (ОДН) за февраль в марте 2016г.</t>
  </si>
  <si>
    <t>84426,/85469</t>
  </si>
  <si>
    <t>Объем коммунальных услуг по показаниям общедомовых приборов учета (ОДН) за март в апреле 2016г.</t>
  </si>
  <si>
    <t>85469,/86764</t>
  </si>
  <si>
    <t>Объем коммунальных услуг по показаниям общедомовых приборов учета (ОДН) за апрель в мае 2016г.</t>
  </si>
  <si>
    <t>86764,/87822</t>
  </si>
  <si>
    <t>Объем коммунальных услуг по показаниям общедомовых приборов учета (ОДН) за май в июне 2016г.</t>
  </si>
  <si>
    <t>87822,/89051</t>
  </si>
  <si>
    <t>Объем коммунальных услуг по показаниям общедомовых приборов учета (ОДН) за июнь в июле 2016г.</t>
  </si>
  <si>
    <t>89051,/90088</t>
  </si>
  <si>
    <t>Объем коммунальных услуг по показаниям общедомовых приборов учета (ОДН) за июль в августе 2016г.</t>
  </si>
  <si>
    <t>90088,/90955</t>
  </si>
  <si>
    <t>Объем коммунальных услуг по показаниям общедомовых приборов учета (ОДН) за август в сентябре 2016г.</t>
  </si>
  <si>
    <t>90955,/92217</t>
  </si>
  <si>
    <t>Объем коммунальных услуг по показаниям общедомовых приборов учета (ОДН) за сентябрь в октябре 2016г.</t>
  </si>
  <si>
    <t>92217,/93238</t>
  </si>
  <si>
    <t>Объем коммунальных услуг по показаниям общедомовых приборов учета (ОДН) за октябрь в ноябре 2016г.</t>
  </si>
  <si>
    <t>93238 /94213</t>
  </si>
  <si>
    <t>Объем коммунальных услуг по показаниям общедомовых приборов учета (ОДН) за ноябрь в декабре 2016г.</t>
  </si>
  <si>
    <t>94213,/95332</t>
  </si>
  <si>
    <t>Объем коммунальных услуг по показаниям общедомовых приборов учета (ОДН) за декабрь в январе 2017г.</t>
  </si>
  <si>
    <t>95332,/96232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</si>
</sst>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"/>
    <numFmt numFmtId="176" formatCode="#,##0.0000"/>
    <numFmt numFmtId="177" formatCode="#,##0.000"/>
  </numFmts>
  <fonts count="22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6" sqref="G6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16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">
      <c r="A6" s="9">
        <v>1</v>
      </c>
      <c r="B6" s="10" t="s">
        <v>13</v>
      </c>
      <c r="C6" s="9"/>
      <c r="D6" s="11">
        <f>68.21</f>
        <v>68.21</v>
      </c>
      <c r="E6" s="11">
        <f>E7*0.0478+0.0011</f>
        <v>35.600691956400006</v>
      </c>
      <c r="F6" s="11">
        <v>0</v>
      </c>
      <c r="G6" s="15">
        <f>23.1748*0.0478+0.0001</f>
        <v>1.10785544</v>
      </c>
      <c r="H6" s="6">
        <f aca="true" t="shared" si="0" ref="H6:H12">G6/6794.9</f>
        <v>0.00016304219929653122</v>
      </c>
      <c r="J6" s="7"/>
    </row>
    <row r="7" spans="1:10" ht="15">
      <c r="A7" s="3">
        <v>2</v>
      </c>
      <c r="B7" s="4" t="s">
        <v>7</v>
      </c>
      <c r="C7" s="6"/>
      <c r="D7" s="6">
        <f>726.6</f>
        <v>726.6</v>
      </c>
      <c r="E7" s="15">
        <f>337.5672-96.275862+482.21+21.26</f>
        <v>744.761338</v>
      </c>
      <c r="F7" s="15">
        <v>0</v>
      </c>
      <c r="G7" s="15">
        <f>D7-E7-F7+0.8893</f>
        <v>-17.272038000000002</v>
      </c>
      <c r="H7" s="6">
        <f t="shared" si="0"/>
        <v>-0.0025419120222519836</v>
      </c>
      <c r="J7" s="7"/>
    </row>
    <row r="8" spans="1:10" ht="15">
      <c r="A8" s="3">
        <v>3</v>
      </c>
      <c r="B8" s="4" t="s">
        <v>12</v>
      </c>
      <c r="C8" s="5" t="s">
        <v>17</v>
      </c>
      <c r="D8" s="5">
        <f>84426-83423</f>
        <v>1003</v>
      </c>
      <c r="E8" s="15">
        <f>551.1607-157.474483+539.36+14.27</f>
        <v>947.316217</v>
      </c>
      <c r="F8" s="15">
        <f>3</f>
        <v>3</v>
      </c>
      <c r="G8" s="15">
        <f>23.1748-0.0001</f>
        <v>23.1747</v>
      </c>
      <c r="H8" s="6">
        <f t="shared" si="0"/>
        <v>0.0034106020691989586</v>
      </c>
      <c r="J8" s="7"/>
    </row>
    <row r="9" spans="1:8" ht="15">
      <c r="A9" s="3">
        <v>4</v>
      </c>
      <c r="B9" s="4" t="s">
        <v>8</v>
      </c>
      <c r="C9" s="5"/>
      <c r="D9" s="5">
        <f>D7+D8</f>
        <v>1729.6</v>
      </c>
      <c r="E9" s="15">
        <f>515.4076+881.84+86.24+15+5.33+167.36+20.9</f>
        <v>1692.0776</v>
      </c>
      <c r="F9" s="15">
        <f>F7+F8</f>
        <v>3</v>
      </c>
      <c r="G9" s="15">
        <v>0</v>
      </c>
      <c r="H9" s="6">
        <f t="shared" si="0"/>
        <v>0</v>
      </c>
    </row>
    <row r="10" spans="1:8" ht="15">
      <c r="A10" s="23">
        <v>5</v>
      </c>
      <c r="B10" s="14" t="s">
        <v>14</v>
      </c>
      <c r="C10" s="5"/>
      <c r="D10" s="6">
        <f>19101+279.05</f>
        <v>19380.05</v>
      </c>
      <c r="E10" s="15">
        <f>12381</f>
        <v>12381</v>
      </c>
      <c r="F10" s="15">
        <f>374</f>
        <v>374</v>
      </c>
      <c r="G10" s="15">
        <f>5038-0.0001</f>
        <v>5037.9999</v>
      </c>
      <c r="H10" s="6">
        <f t="shared" si="0"/>
        <v>0.7414384170480802</v>
      </c>
    </row>
    <row r="11" spans="1:8" ht="15">
      <c r="A11" s="24"/>
      <c r="B11" s="14" t="s">
        <v>15</v>
      </c>
      <c r="C11" s="5"/>
      <c r="D11" s="6">
        <f>21124+565.62</f>
        <v>21689.62</v>
      </c>
      <c r="E11" s="15">
        <f>16447</f>
        <v>16447</v>
      </c>
      <c r="F11" s="15">
        <f>653</f>
        <v>653</v>
      </c>
      <c r="G11" s="15">
        <v>0</v>
      </c>
      <c r="H11" s="6">
        <f t="shared" si="0"/>
        <v>0</v>
      </c>
    </row>
    <row r="12" spans="1:8" ht="15">
      <c r="A12" s="25"/>
      <c r="B12" s="12" t="s">
        <v>10</v>
      </c>
      <c r="C12" s="12"/>
      <c r="D12" s="13">
        <f>SUM(D10:D11)</f>
        <v>41069.67</v>
      </c>
      <c r="E12" s="16">
        <f>SUM(E10:E11)</f>
        <v>28828</v>
      </c>
      <c r="F12" s="16">
        <f>SUM(F10:F11)</f>
        <v>1027</v>
      </c>
      <c r="G12" s="16">
        <f>SUM(G10:G11)</f>
        <v>5037.9999</v>
      </c>
      <c r="H12" s="6">
        <f t="shared" si="0"/>
        <v>0.7414384170480802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21" sqref="F21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34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.75">
      <c r="A6" s="9">
        <v>1</v>
      </c>
      <c r="B6" s="10" t="s">
        <v>13</v>
      </c>
      <c r="C6" s="18"/>
      <c r="D6" s="19">
        <v>63.39</v>
      </c>
      <c r="E6" s="19">
        <f>23.9024+36.6766-6.82924-0.0008</f>
        <v>53.748960000000004</v>
      </c>
      <c r="F6" s="20">
        <v>0</v>
      </c>
      <c r="G6" s="5">
        <f>27.2052*0.0968-0.0008</f>
        <v>2.63266336</v>
      </c>
      <c r="H6" s="6">
        <f>G6/6794.9</f>
        <v>0.0003874469616918572</v>
      </c>
      <c r="J6" s="7"/>
    </row>
    <row r="7" spans="1:10" ht="15">
      <c r="A7" s="3">
        <v>2</v>
      </c>
      <c r="B7" s="4" t="s">
        <v>7</v>
      </c>
      <c r="C7" s="6"/>
      <c r="D7" s="21">
        <v>649.3</v>
      </c>
      <c r="E7" s="22">
        <f>246.84+378.89-70.4</f>
        <v>555.33</v>
      </c>
      <c r="F7" s="15">
        <v>0</v>
      </c>
      <c r="G7" s="5">
        <f>27.2052-0.0028</f>
        <v>27.2024</v>
      </c>
      <c r="H7" s="6">
        <f aca="true" t="shared" si="0" ref="H7:H12">G7/6794.9</f>
        <v>0.004003355457769798</v>
      </c>
      <c r="J7" s="7"/>
    </row>
    <row r="8" spans="1:10" ht="15">
      <c r="A8" s="3">
        <v>3</v>
      </c>
      <c r="B8" s="4" t="s">
        <v>12</v>
      </c>
      <c r="C8" s="5" t="s">
        <v>35</v>
      </c>
      <c r="D8" s="5">
        <f>94213-93238</f>
        <v>975</v>
      </c>
      <c r="E8" s="13">
        <f>400.61+593.95-114.46</f>
        <v>880.1</v>
      </c>
      <c r="F8" s="15">
        <v>3</v>
      </c>
      <c r="G8" s="5">
        <f>27.2052-0.0028</f>
        <v>27.2024</v>
      </c>
      <c r="H8" s="6">
        <f t="shared" si="0"/>
        <v>0.004003355457769798</v>
      </c>
      <c r="J8" s="7"/>
    </row>
    <row r="9" spans="1:8" ht="15">
      <c r="A9" s="3">
        <v>4</v>
      </c>
      <c r="B9" s="4" t="s">
        <v>8</v>
      </c>
      <c r="C9" s="5"/>
      <c r="D9" s="13">
        <f>D7+D8</f>
        <v>1624.3</v>
      </c>
      <c r="E9" s="5">
        <f>520.8+916.74+21.42+161.33-184.86</f>
        <v>1435.4299999999998</v>
      </c>
      <c r="F9" s="15">
        <f>F7+F8</f>
        <v>3</v>
      </c>
      <c r="G9" s="5">
        <v>0</v>
      </c>
      <c r="H9" s="6">
        <f t="shared" si="0"/>
        <v>0</v>
      </c>
    </row>
    <row r="10" spans="1:8" ht="15">
      <c r="A10" s="23">
        <v>5</v>
      </c>
      <c r="B10" s="14" t="s">
        <v>14</v>
      </c>
      <c r="C10" s="5"/>
      <c r="D10" s="6">
        <f>16960+149.333</f>
        <v>17109.333</v>
      </c>
      <c r="E10" s="5">
        <f>16292-3779+0.003</f>
        <v>12513.003</v>
      </c>
      <c r="F10" s="5">
        <v>196</v>
      </c>
      <c r="G10" s="5">
        <f>D10-E10-F10-0.0007</f>
        <v>4400.3292999999985</v>
      </c>
      <c r="H10" s="6">
        <f t="shared" si="0"/>
        <v>0.6475929447085312</v>
      </c>
    </row>
    <row r="11" spans="1:8" ht="15">
      <c r="A11" s="24"/>
      <c r="B11" s="14" t="s">
        <v>15</v>
      </c>
      <c r="C11" s="5"/>
      <c r="D11" s="6">
        <v>14388</v>
      </c>
      <c r="E11" s="5">
        <v>10209</v>
      </c>
      <c r="F11" s="5">
        <v>260</v>
      </c>
      <c r="G11" s="5">
        <f>D11-E11-F11-3281.3301</f>
        <v>637.6698999999999</v>
      </c>
      <c r="H11" s="6">
        <f t="shared" si="0"/>
        <v>0.09384536932110847</v>
      </c>
    </row>
    <row r="12" spans="1:8" ht="15">
      <c r="A12" s="25"/>
      <c r="B12" s="12" t="s">
        <v>10</v>
      </c>
      <c r="C12" s="12"/>
      <c r="D12" s="13">
        <f>SUM(D10:D11)</f>
        <v>31497.333</v>
      </c>
      <c r="E12" s="13">
        <f>SUM(E10:E11)</f>
        <v>22722.003</v>
      </c>
      <c r="F12" s="13">
        <f>SUM(F10:F11)</f>
        <v>456</v>
      </c>
      <c r="G12" s="13">
        <f>SUM(G10:G11)</f>
        <v>5037.999199999998</v>
      </c>
      <c r="H12" s="6">
        <f t="shared" si="0"/>
        <v>0.7414383140296397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20" sqref="E20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36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.75">
      <c r="A6" s="9">
        <v>1</v>
      </c>
      <c r="B6" s="10" t="s">
        <v>13</v>
      </c>
      <c r="C6" s="18"/>
      <c r="D6" s="19">
        <f>58.34</f>
        <v>58.34</v>
      </c>
      <c r="E6" s="19">
        <f>23.9853-6.85292+43.3483</f>
        <v>60.48068</v>
      </c>
      <c r="F6" s="20">
        <v>0</v>
      </c>
      <c r="G6" s="5">
        <f>D6-E6-F6+0.0976</f>
        <v>-2.0430799999999962</v>
      </c>
      <c r="H6" s="6">
        <f>G6/6794.6</f>
        <v>-0.00030069172578223825</v>
      </c>
      <c r="J6" s="7"/>
    </row>
    <row r="7" spans="1:10" ht="15">
      <c r="A7" s="3">
        <v>2</v>
      </c>
      <c r="B7" s="4" t="s">
        <v>7</v>
      </c>
      <c r="C7" s="6"/>
      <c r="D7" s="21">
        <f>608</f>
        <v>608</v>
      </c>
      <c r="E7" s="22">
        <f>241.23-68.8+436.1</f>
        <v>608.53</v>
      </c>
      <c r="F7" s="15">
        <v>0</v>
      </c>
      <c r="G7" s="5">
        <f>D7-E7-F7+0.024</f>
        <v>-0.5059999999999727</v>
      </c>
      <c r="H7" s="6">
        <f aca="true" t="shared" si="0" ref="H7:H12">G7/6794.6</f>
        <v>-7.447090336443244E-05</v>
      </c>
      <c r="J7" s="7"/>
    </row>
    <row r="8" spans="1:10" ht="15">
      <c r="A8" s="3">
        <v>3</v>
      </c>
      <c r="B8" s="4" t="s">
        <v>12</v>
      </c>
      <c r="C8" s="5" t="s">
        <v>37</v>
      </c>
      <c r="D8" s="5">
        <f>95332-94213</f>
        <v>1119</v>
      </c>
      <c r="E8" s="13">
        <f>373.45-106.7+656.48</f>
        <v>923.23</v>
      </c>
      <c r="F8" s="15">
        <f>7</f>
        <v>7</v>
      </c>
      <c r="G8" s="5">
        <f>27.2052-0.0038</f>
        <v>27.201400000000003</v>
      </c>
      <c r="H8" s="6">
        <f t="shared" si="0"/>
        <v>0.00400338504106202</v>
      </c>
      <c r="J8" s="7"/>
    </row>
    <row r="9" spans="1:8" ht="15">
      <c r="A9" s="3">
        <v>4</v>
      </c>
      <c r="B9" s="4" t="s">
        <v>8</v>
      </c>
      <c r="C9" s="5"/>
      <c r="D9" s="13">
        <f>D7+D8</f>
        <v>1727</v>
      </c>
      <c r="E9" s="5">
        <f>508.4-145.14+1041.3+22.09-3.2+135.47-27.16</f>
        <v>1531.7599999999998</v>
      </c>
      <c r="F9" s="15">
        <f>F7+F8</f>
        <v>7</v>
      </c>
      <c r="G9" s="5">
        <v>0</v>
      </c>
      <c r="H9" s="6">
        <f t="shared" si="0"/>
        <v>0</v>
      </c>
    </row>
    <row r="10" spans="1:8" ht="15">
      <c r="A10" s="23">
        <v>5</v>
      </c>
      <c r="B10" s="14" t="s">
        <v>14</v>
      </c>
      <c r="C10" s="5"/>
      <c r="D10" s="17">
        <f>15978+183.9</f>
        <v>16161.9</v>
      </c>
      <c r="E10" s="5">
        <f>18821-1582</f>
        <v>17239</v>
      </c>
      <c r="F10" s="5">
        <f>463</f>
        <v>463</v>
      </c>
      <c r="G10" s="5">
        <f>D10-E10-F10-0.0005</f>
        <v>-1540.1005000000005</v>
      </c>
      <c r="H10" s="6">
        <f t="shared" si="0"/>
        <v>-0.22666536661466463</v>
      </c>
    </row>
    <row r="11" spans="1:8" ht="15">
      <c r="A11" s="24"/>
      <c r="B11" s="14" t="s">
        <v>15</v>
      </c>
      <c r="C11" s="5"/>
      <c r="D11" s="17">
        <f>17660</f>
        <v>17660</v>
      </c>
      <c r="E11" s="5">
        <f>11166.7</f>
        <v>11166.7</v>
      </c>
      <c r="F11" s="5">
        <f>623</f>
        <v>623</v>
      </c>
      <c r="G11" s="5">
        <f>D11-E11-F11-0.0016</f>
        <v>5870.2984</v>
      </c>
      <c r="H11" s="6">
        <f t="shared" si="0"/>
        <v>0.8639652665351896</v>
      </c>
    </row>
    <row r="12" spans="1:8" ht="15">
      <c r="A12" s="25"/>
      <c r="B12" s="12" t="s">
        <v>10</v>
      </c>
      <c r="C12" s="12"/>
      <c r="D12" s="13">
        <f>SUM(D10:D11)</f>
        <v>33821.9</v>
      </c>
      <c r="E12" s="13">
        <f>SUM(E10:E11)</f>
        <v>28405.7</v>
      </c>
      <c r="F12" s="13">
        <f>SUM(F10:F11)</f>
        <v>1086</v>
      </c>
      <c r="G12" s="13">
        <f>SUM(G10:G11)</f>
        <v>4330.197899999999</v>
      </c>
      <c r="H12" s="6">
        <f t="shared" si="0"/>
        <v>0.6372998999205249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2" sqref="A2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38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.75">
      <c r="A6" s="9">
        <v>1</v>
      </c>
      <c r="B6" s="10" t="s">
        <v>13</v>
      </c>
      <c r="C6" s="18"/>
      <c r="D6" s="19">
        <f>61.48</f>
        <v>61.48</v>
      </c>
      <c r="E6" s="19">
        <f>26.1552+45.9602-8.718414+0.0012</f>
        <v>63.398185999999995</v>
      </c>
      <c r="F6" s="20">
        <v>0</v>
      </c>
      <c r="G6" s="15">
        <f>D6-E6-F6+0.1162</f>
        <v>-1.8019859999999985</v>
      </c>
      <c r="H6" s="6">
        <f aca="true" t="shared" si="0" ref="H6:H12">G6/6794.6</f>
        <v>-0.00026520854796455986</v>
      </c>
      <c r="J6" s="7"/>
    </row>
    <row r="7" spans="1:10" ht="15">
      <c r="A7" s="3">
        <v>2</v>
      </c>
      <c r="B7" s="4" t="s">
        <v>7</v>
      </c>
      <c r="C7" s="6"/>
      <c r="D7" s="21">
        <f>617.3</f>
        <v>617.3</v>
      </c>
      <c r="E7" s="22">
        <f>252.6139+444.06-84.064516</f>
        <v>612.609384</v>
      </c>
      <c r="F7" s="5">
        <v>0</v>
      </c>
      <c r="G7" s="5">
        <f>D7-E7-F7-0.0001</f>
        <v>4.6905159999999775</v>
      </c>
      <c r="H7" s="6">
        <f t="shared" si="0"/>
        <v>0.0006903299679156944</v>
      </c>
      <c r="J7" s="7"/>
    </row>
    <row r="8" spans="1:10" ht="15">
      <c r="A8" s="3">
        <v>3</v>
      </c>
      <c r="B8" s="4" t="s">
        <v>12</v>
      </c>
      <c r="C8" s="5" t="s">
        <v>39</v>
      </c>
      <c r="D8" s="5">
        <f>96232-95332</f>
        <v>900</v>
      </c>
      <c r="E8" s="13">
        <f>385.5445+588.73-128.338064</f>
        <v>845.936436</v>
      </c>
      <c r="F8" s="5">
        <f>2</f>
        <v>2</v>
      </c>
      <c r="G8" s="5">
        <f>27.2052-0.0038</f>
        <v>27.201400000000003</v>
      </c>
      <c r="H8" s="6">
        <f t="shared" si="0"/>
        <v>0.00400338504106202</v>
      </c>
      <c r="J8" s="7"/>
    </row>
    <row r="9" spans="1:8" ht="15">
      <c r="A9" s="3">
        <v>4</v>
      </c>
      <c r="B9" s="4" t="s">
        <v>8</v>
      </c>
      <c r="C9" s="5"/>
      <c r="D9" s="13">
        <f>D7+D8</f>
        <v>1517.3</v>
      </c>
      <c r="E9" s="5">
        <f>518.3484+936.18+40.58+175.84-172.522585-6-33.88</f>
        <v>1458.5458149999997</v>
      </c>
      <c r="F9" s="15">
        <f>F7+F8</f>
        <v>2</v>
      </c>
      <c r="G9" s="5">
        <v>0</v>
      </c>
      <c r="H9" s="6">
        <f t="shared" si="0"/>
        <v>0</v>
      </c>
    </row>
    <row r="10" spans="1:8" ht="15">
      <c r="A10" s="23">
        <v>5</v>
      </c>
      <c r="B10" s="14" t="s">
        <v>14</v>
      </c>
      <c r="C10" s="5"/>
      <c r="D10" s="17">
        <f>14440+190.67</f>
        <v>14630.67</v>
      </c>
      <c r="E10" s="5">
        <f>15933-6206</f>
        <v>9727</v>
      </c>
      <c r="F10" s="5">
        <f>409</f>
        <v>409</v>
      </c>
      <c r="G10" s="5">
        <f>D10-E10-F10+0.0012</f>
        <v>4494.6712</v>
      </c>
      <c r="H10" s="6">
        <f t="shared" si="0"/>
        <v>0.6615063727077384</v>
      </c>
    </row>
    <row r="11" spans="1:8" ht="15">
      <c r="A11" s="24"/>
      <c r="B11" s="14" t="s">
        <v>15</v>
      </c>
      <c r="C11" s="5"/>
      <c r="D11" s="17">
        <f>11715</f>
        <v>11715</v>
      </c>
      <c r="E11" s="5">
        <f>11343.3</f>
        <v>11343.3</v>
      </c>
      <c r="F11" s="5">
        <f>512</f>
        <v>512</v>
      </c>
      <c r="G11" s="5">
        <f>D11-E11-F11-0.0006</f>
        <v>-140.30059999999926</v>
      </c>
      <c r="H11" s="6">
        <f t="shared" si="0"/>
        <v>-0.02064883878373992</v>
      </c>
    </row>
    <row r="12" spans="1:8" ht="15">
      <c r="A12" s="25"/>
      <c r="B12" s="12" t="s">
        <v>10</v>
      </c>
      <c r="C12" s="12"/>
      <c r="D12" s="13">
        <f>SUM(D10:D11)</f>
        <v>26345.67</v>
      </c>
      <c r="E12" s="13">
        <f>SUM(E10:E11)</f>
        <v>21070.3</v>
      </c>
      <c r="F12" s="13">
        <f>SUM(F10:F11)</f>
        <v>921</v>
      </c>
      <c r="G12" s="13">
        <f>SUM(G10:G11)</f>
        <v>4354.3706</v>
      </c>
      <c r="H12" s="6">
        <f t="shared" si="0"/>
        <v>0.6408575339239985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4" sqref="C4:C5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18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">
      <c r="A6" s="9">
        <v>1</v>
      </c>
      <c r="B6" s="10" t="s">
        <v>13</v>
      </c>
      <c r="C6" s="9"/>
      <c r="D6" s="11">
        <f>64.7</f>
        <v>64.7</v>
      </c>
      <c r="E6" s="11">
        <f>E7*0.0478+0.0008</f>
        <v>28.26339867466</v>
      </c>
      <c r="F6" s="11">
        <v>0</v>
      </c>
      <c r="G6" s="15">
        <f>G7*0.0478+0.0001</f>
        <v>1.1078506600000002</v>
      </c>
      <c r="H6" s="6">
        <f aca="true" t="shared" si="0" ref="H6:H12">G6/6794.9</f>
        <v>0.0001630414958277532</v>
      </c>
      <c r="J6" s="7"/>
    </row>
    <row r="7" spans="1:10" ht="15">
      <c r="A7" s="3">
        <v>2</v>
      </c>
      <c r="B7" s="4" t="s">
        <v>7</v>
      </c>
      <c r="C7" s="6"/>
      <c r="D7" s="6">
        <f>687.5</f>
        <v>687.5</v>
      </c>
      <c r="E7" s="15">
        <f>300.7684-85.7806453+368.87+7.41</f>
        <v>591.2677547</v>
      </c>
      <c r="F7" s="15">
        <v>0</v>
      </c>
      <c r="G7" s="15">
        <f>23.1748-0.0001</f>
        <v>23.1747</v>
      </c>
      <c r="H7" s="6">
        <f t="shared" si="0"/>
        <v>0.0034106020691989586</v>
      </c>
      <c r="J7" s="7"/>
    </row>
    <row r="8" spans="1:10" ht="15">
      <c r="A8" s="3">
        <v>3</v>
      </c>
      <c r="B8" s="4" t="s">
        <v>12</v>
      </c>
      <c r="C8" s="5" t="s">
        <v>19</v>
      </c>
      <c r="D8" s="5">
        <f>85469-84426</f>
        <v>1043</v>
      </c>
      <c r="E8" s="15">
        <f>520.2016-148.629032+542.23+72.86</f>
        <v>986.6625680000001</v>
      </c>
      <c r="F8" s="15">
        <f>5</f>
        <v>5</v>
      </c>
      <c r="G8" s="15">
        <f>23.1748-0.0001</f>
        <v>23.1747</v>
      </c>
      <c r="H8" s="6">
        <f t="shared" si="0"/>
        <v>0.0034106020691989586</v>
      </c>
      <c r="J8" s="7"/>
    </row>
    <row r="9" spans="1:8" ht="15">
      <c r="A9" s="3">
        <v>4</v>
      </c>
      <c r="B9" s="4" t="s">
        <v>8</v>
      </c>
      <c r="C9" s="5"/>
      <c r="D9" s="5">
        <f>D7+D8</f>
        <v>1730.5</v>
      </c>
      <c r="E9" s="15">
        <f>457.2903+829.74+115.79+14.77+4.12+145.94+10.28</f>
        <v>1577.9302999999998</v>
      </c>
      <c r="F9" s="15">
        <f>F7+F8</f>
        <v>5</v>
      </c>
      <c r="G9" s="15">
        <v>0</v>
      </c>
      <c r="H9" s="6">
        <f t="shared" si="0"/>
        <v>0</v>
      </c>
    </row>
    <row r="10" spans="1:8" ht="15">
      <c r="A10" s="23">
        <v>5</v>
      </c>
      <c r="B10" s="14" t="s">
        <v>14</v>
      </c>
      <c r="C10" s="5"/>
      <c r="D10" s="17">
        <f>17348+210.977</f>
        <v>17558.977</v>
      </c>
      <c r="E10" s="15">
        <f>12185</f>
        <v>12185</v>
      </c>
      <c r="F10" s="15">
        <f>415</f>
        <v>415</v>
      </c>
      <c r="G10" s="15">
        <f>D10-E10-F10+0.0005</f>
        <v>4958.977499999999</v>
      </c>
      <c r="H10" s="6">
        <f t="shared" si="0"/>
        <v>0.7298087536240414</v>
      </c>
    </row>
    <row r="11" spans="1:8" ht="15">
      <c r="A11" s="24"/>
      <c r="B11" s="14" t="s">
        <v>15</v>
      </c>
      <c r="C11" s="5"/>
      <c r="D11" s="17">
        <f>15228+396.006</f>
        <v>15624.006</v>
      </c>
      <c r="E11" s="15">
        <f>14026</f>
        <v>14026</v>
      </c>
      <c r="F11" s="15">
        <f>564</f>
        <v>564</v>
      </c>
      <c r="G11" s="15">
        <f>79.023-0.0002</f>
        <v>79.02279999999999</v>
      </c>
      <c r="H11" s="6">
        <f t="shared" si="0"/>
        <v>0.011629722291718788</v>
      </c>
    </row>
    <row r="12" spans="1:8" ht="15">
      <c r="A12" s="25"/>
      <c r="B12" s="12" t="s">
        <v>10</v>
      </c>
      <c r="C12" s="12"/>
      <c r="D12" s="13">
        <f>SUM(D10:D11)</f>
        <v>33182.983</v>
      </c>
      <c r="E12" s="16">
        <f>SUM(E10:E11)</f>
        <v>26211</v>
      </c>
      <c r="F12" s="16">
        <f>SUM(F10:F11)</f>
        <v>979</v>
      </c>
      <c r="G12" s="16">
        <f>SUM(G10:G11)</f>
        <v>5038.000299999999</v>
      </c>
      <c r="H12" s="6">
        <f t="shared" si="0"/>
        <v>0.7414384759157602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:H3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20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">
      <c r="A6" s="9">
        <v>1</v>
      </c>
      <c r="B6" s="10" t="s">
        <v>13</v>
      </c>
      <c r="C6" s="9"/>
      <c r="D6" s="11">
        <f>67.94</f>
        <v>67.94</v>
      </c>
      <c r="E6" s="11">
        <f>E7*0.0478+0.0018</f>
        <v>29.689902000000004</v>
      </c>
      <c r="F6" s="11">
        <v>0</v>
      </c>
      <c r="G6" s="15">
        <f>23.1748*0.0478+0.0001</f>
        <v>1.10785544</v>
      </c>
      <c r="H6" s="6">
        <f aca="true" t="shared" si="0" ref="H6:H12">G6/6794.9</f>
        <v>0.00016304219929653122</v>
      </c>
      <c r="J6" s="7"/>
    </row>
    <row r="7" spans="1:10" ht="15">
      <c r="A7" s="3">
        <v>2</v>
      </c>
      <c r="B7" s="4" t="s">
        <v>7</v>
      </c>
      <c r="C7" s="6"/>
      <c r="D7" s="6">
        <f>701.3</f>
        <v>701.3</v>
      </c>
      <c r="E7" s="15">
        <f>297.33-84.8+381.41+27.15</f>
        <v>621.09</v>
      </c>
      <c r="F7" s="15">
        <v>0</v>
      </c>
      <c r="G7" s="15">
        <f>23.1748-0.0001</f>
        <v>23.1747</v>
      </c>
      <c r="H7" s="6">
        <f t="shared" si="0"/>
        <v>0.0034106020691989586</v>
      </c>
      <c r="J7" s="7"/>
    </row>
    <row r="8" spans="1:10" ht="15">
      <c r="A8" s="3">
        <v>3</v>
      </c>
      <c r="B8" s="4" t="s">
        <v>12</v>
      </c>
      <c r="C8" s="5" t="s">
        <v>21</v>
      </c>
      <c r="D8" s="5">
        <f>86764-85469</f>
        <v>1295</v>
      </c>
      <c r="E8" s="15">
        <f>497.4807-142.137333+529.66+30.46</f>
        <v>915.4633670000001</v>
      </c>
      <c r="F8" s="15">
        <f>3</f>
        <v>3</v>
      </c>
      <c r="G8" s="15">
        <f>23.1748-0.0001</f>
        <v>23.1747</v>
      </c>
      <c r="H8" s="6">
        <f t="shared" si="0"/>
        <v>0.0034106020691989586</v>
      </c>
      <c r="J8" s="7"/>
    </row>
    <row r="9" spans="1:8" ht="15">
      <c r="A9" s="3">
        <v>4</v>
      </c>
      <c r="B9" s="4" t="s">
        <v>8</v>
      </c>
      <c r="C9" s="5"/>
      <c r="D9" s="5">
        <f>D7+D8</f>
        <v>1996.3</v>
      </c>
      <c r="E9" s="15">
        <f>451.86+782.94+86.16+15.07+2.42+169.8233+28.28</f>
        <v>1536.5533000000003</v>
      </c>
      <c r="F9" s="15">
        <f>F7+F8</f>
        <v>3</v>
      </c>
      <c r="G9" s="15">
        <v>0</v>
      </c>
      <c r="H9" s="6">
        <f t="shared" si="0"/>
        <v>0</v>
      </c>
    </row>
    <row r="10" spans="1:8" ht="15">
      <c r="A10" s="23">
        <v>5</v>
      </c>
      <c r="B10" s="14" t="s">
        <v>14</v>
      </c>
      <c r="C10" s="5"/>
      <c r="D10" s="17">
        <f>14004+128.617</f>
        <v>14132.617</v>
      </c>
      <c r="E10" s="15">
        <f>11688-594</f>
        <v>11094</v>
      </c>
      <c r="F10" s="15">
        <f>271</f>
        <v>271</v>
      </c>
      <c r="G10" s="15">
        <f>D10-E10-F10+0.0001</f>
        <v>2767.6171000000004</v>
      </c>
      <c r="H10" s="6">
        <f t="shared" si="0"/>
        <v>0.4073079957026594</v>
      </c>
    </row>
    <row r="11" spans="1:8" ht="15">
      <c r="A11" s="24"/>
      <c r="B11" s="14" t="s">
        <v>15</v>
      </c>
      <c r="C11" s="5"/>
      <c r="D11" s="17">
        <f>15718+394.126</f>
        <v>16112.126</v>
      </c>
      <c r="E11" s="15">
        <f>14317</f>
        <v>14317</v>
      </c>
      <c r="F11" s="15">
        <f>384</f>
        <v>384</v>
      </c>
      <c r="G11" s="15">
        <f>D11-E11-F11+0.0002</f>
        <v>1411.1262000000002</v>
      </c>
      <c r="H11" s="6">
        <f t="shared" si="0"/>
        <v>0.20767431455944904</v>
      </c>
    </row>
    <row r="12" spans="1:8" ht="15">
      <c r="A12" s="25"/>
      <c r="B12" s="12" t="s">
        <v>10</v>
      </c>
      <c r="C12" s="12"/>
      <c r="D12" s="13">
        <f>SUM(D10:D11)</f>
        <v>30244.743000000002</v>
      </c>
      <c r="E12" s="16">
        <f>SUM(E10:E11)</f>
        <v>25411</v>
      </c>
      <c r="F12" s="16">
        <f>SUM(F10:F11)</f>
        <v>655</v>
      </c>
      <c r="G12" s="16">
        <f>SUM(G10:G11)</f>
        <v>4178.7433</v>
      </c>
      <c r="H12" s="6">
        <f t="shared" si="0"/>
        <v>0.6149823102621084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4" sqref="C4:C5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22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">
      <c r="A6" s="9">
        <v>1</v>
      </c>
      <c r="B6" s="10" t="s">
        <v>13</v>
      </c>
      <c r="C6" s="9"/>
      <c r="D6" s="11">
        <f>63.51</f>
        <v>63.51</v>
      </c>
      <c r="E6" s="11">
        <f>E7*0.0478+0.001482</f>
        <v>32.6876</v>
      </c>
      <c r="F6" s="11">
        <v>0</v>
      </c>
      <c r="G6" s="15">
        <f>23.1748*0.0478+0.0001</f>
        <v>1.10785544</v>
      </c>
      <c r="H6" s="6">
        <f>G6/6794.9</f>
        <v>0.00016304219929653122</v>
      </c>
      <c r="J6" s="7"/>
    </row>
    <row r="7" spans="1:10" ht="15">
      <c r="A7" s="3">
        <v>2</v>
      </c>
      <c r="B7" s="4" t="s">
        <v>7</v>
      </c>
      <c r="C7" s="6"/>
      <c r="D7" s="6">
        <f>700.1</f>
        <v>700.1</v>
      </c>
      <c r="E7" s="15">
        <f>297.33-84.8+469.25+2.03</f>
        <v>683.81</v>
      </c>
      <c r="F7" s="15">
        <v>0</v>
      </c>
      <c r="G7" s="15">
        <f>D7-E7-F7+0.0005</f>
        <v>16.290500000000076</v>
      </c>
      <c r="H7" s="6">
        <f aca="true" t="shared" si="0" ref="H7:H12">G7/6794.9</f>
        <v>0.002397459859600594</v>
      </c>
      <c r="J7" s="7"/>
    </row>
    <row r="8" spans="1:10" ht="15">
      <c r="A8" s="3">
        <v>3</v>
      </c>
      <c r="B8" s="4" t="s">
        <v>12</v>
      </c>
      <c r="C8" s="5" t="s">
        <v>23</v>
      </c>
      <c r="D8" s="5">
        <f>87822-86764</f>
        <v>1058</v>
      </c>
      <c r="E8" s="15">
        <f>495.67-141.62+582.15+31.9</f>
        <v>968.1</v>
      </c>
      <c r="F8" s="15">
        <f>5</f>
        <v>5</v>
      </c>
      <c r="G8" s="15">
        <f>23.1748-0.0001</f>
        <v>23.1747</v>
      </c>
      <c r="H8" s="6">
        <f t="shared" si="0"/>
        <v>0.0034106020691989586</v>
      </c>
      <c r="J8" s="7"/>
    </row>
    <row r="9" spans="1:8" ht="15">
      <c r="A9" s="3">
        <v>4</v>
      </c>
      <c r="B9" s="4" t="s">
        <v>8</v>
      </c>
      <c r="C9" s="5"/>
      <c r="D9" s="5">
        <f>D7+D8</f>
        <v>1758.1</v>
      </c>
      <c r="E9" s="15">
        <f>451.86+907.34+89.03+15.04+3.58+172.38+12.68</f>
        <v>1651.91</v>
      </c>
      <c r="F9" s="15">
        <f>F7+F8</f>
        <v>5</v>
      </c>
      <c r="G9" s="15">
        <v>0</v>
      </c>
      <c r="H9" s="6">
        <f t="shared" si="0"/>
        <v>0</v>
      </c>
    </row>
    <row r="10" spans="1:8" ht="15">
      <c r="A10" s="23">
        <v>5</v>
      </c>
      <c r="B10" s="14" t="s">
        <v>14</v>
      </c>
      <c r="C10" s="5"/>
      <c r="D10" s="17">
        <f>16325+96.275</f>
        <v>16421.275</v>
      </c>
      <c r="E10" s="15">
        <f>11315</f>
        <v>11315</v>
      </c>
      <c r="F10" s="15">
        <f>243</f>
        <v>243</v>
      </c>
      <c r="G10" s="15">
        <f>D10-E10-F10+0.0013</f>
        <v>4863.276300000001</v>
      </c>
      <c r="H10" s="6">
        <f t="shared" si="0"/>
        <v>0.7157244845398757</v>
      </c>
    </row>
    <row r="11" spans="1:8" ht="15">
      <c r="A11" s="24"/>
      <c r="B11" s="14" t="s">
        <v>15</v>
      </c>
      <c r="C11" s="5"/>
      <c r="D11" s="17">
        <f>15919+404.655</f>
        <v>16323.655</v>
      </c>
      <c r="E11" s="15">
        <f>14378</f>
        <v>14378</v>
      </c>
      <c r="F11" s="15">
        <f>315</f>
        <v>315</v>
      </c>
      <c r="G11" s="15">
        <f>D11-E11-F11-1455.93-0.0004</f>
        <v>174.72460000000058</v>
      </c>
      <c r="H11" s="6">
        <f t="shared" si="0"/>
        <v>0.0257140796774052</v>
      </c>
    </row>
    <row r="12" spans="1:8" ht="15">
      <c r="A12" s="25"/>
      <c r="B12" s="12" t="s">
        <v>10</v>
      </c>
      <c r="C12" s="12"/>
      <c r="D12" s="13">
        <f>SUM(D10:D11)</f>
        <v>32744.93</v>
      </c>
      <c r="E12" s="16">
        <f>SUM(E10:E11)</f>
        <v>25693</v>
      </c>
      <c r="F12" s="16">
        <f>SUM(F10:F11)</f>
        <v>558</v>
      </c>
      <c r="G12" s="16">
        <f>SUM(G10:G11)</f>
        <v>5038.000900000002</v>
      </c>
      <c r="H12" s="6">
        <f t="shared" si="0"/>
        <v>0.7414385642172809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4" sqref="C4:C5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24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">
      <c r="A6" s="9">
        <v>1</v>
      </c>
      <c r="B6" s="10" t="s">
        <v>13</v>
      </c>
      <c r="C6" s="9"/>
      <c r="D6" s="11">
        <f>53.95</f>
        <v>53.95</v>
      </c>
      <c r="E6" s="11">
        <f>20.1426-5.755018+37.0352+0.9695+0.0006</f>
        <v>52.39288200000001</v>
      </c>
      <c r="F6" s="11">
        <v>0</v>
      </c>
      <c r="G6" s="15">
        <f>D6-E6-F6-0.0004+0.0002</f>
        <v>1.5569179999999956</v>
      </c>
      <c r="H6" s="6">
        <f aca="true" t="shared" si="0" ref="H6:H12">G6/6794.9</f>
        <v>0.00022913037719466005</v>
      </c>
      <c r="J6" s="7"/>
    </row>
    <row r="7" spans="1:10" ht="15">
      <c r="A7" s="3">
        <v>2</v>
      </c>
      <c r="B7" s="4" t="s">
        <v>7</v>
      </c>
      <c r="C7" s="6"/>
      <c r="D7" s="6">
        <f>630.5</f>
        <v>630.5</v>
      </c>
      <c r="E7" s="15">
        <f>258.06-73.6+474.81+12.43</f>
        <v>671.6999999999999</v>
      </c>
      <c r="F7" s="15">
        <v>0</v>
      </c>
      <c r="G7" s="15">
        <f>D7-E7-F7+3.19</f>
        <v>-38.009999999999934</v>
      </c>
      <c r="H7" s="6">
        <f t="shared" si="0"/>
        <v>-0.005593901308334182</v>
      </c>
      <c r="J7" s="7"/>
    </row>
    <row r="8" spans="1:10" ht="15">
      <c r="A8" s="3">
        <v>3</v>
      </c>
      <c r="B8" s="4" t="s">
        <v>12</v>
      </c>
      <c r="C8" s="5" t="s">
        <v>25</v>
      </c>
      <c r="D8" s="5">
        <f>89051-87822</f>
        <v>1229</v>
      </c>
      <c r="E8" s="15">
        <f>448.14-128.04+626.52+42.86</f>
        <v>989.48</v>
      </c>
      <c r="F8" s="15">
        <f>3</f>
        <v>3</v>
      </c>
      <c r="G8" s="15">
        <f>23.1748-0.0001</f>
        <v>23.1747</v>
      </c>
      <c r="H8" s="6">
        <f t="shared" si="0"/>
        <v>0.0034106020691989586</v>
      </c>
      <c r="J8" s="7"/>
    </row>
    <row r="9" spans="1:8" ht="15">
      <c r="A9" s="3">
        <v>4</v>
      </c>
      <c r="B9" s="4" t="s">
        <v>8</v>
      </c>
      <c r="C9" s="5"/>
      <c r="D9" s="5">
        <f>D7+D8</f>
        <v>1859.5</v>
      </c>
      <c r="E9" s="15">
        <f>389.84+959.74+101.92+15.01+4.18+171.3+19.19</f>
        <v>1661.18</v>
      </c>
      <c r="F9" s="15">
        <f>F7+F8</f>
        <v>3</v>
      </c>
      <c r="G9" s="15">
        <v>0</v>
      </c>
      <c r="H9" s="6">
        <f>G9/6794.9</f>
        <v>0</v>
      </c>
    </row>
    <row r="10" spans="1:8" ht="15">
      <c r="A10" s="23">
        <v>5</v>
      </c>
      <c r="B10" s="14" t="s">
        <v>14</v>
      </c>
      <c r="C10" s="5"/>
      <c r="D10" s="17">
        <f>8253+25.949</f>
        <v>8278.949</v>
      </c>
      <c r="E10" s="15">
        <f>10235</f>
        <v>10235</v>
      </c>
      <c r="F10" s="15">
        <f>63</f>
        <v>63</v>
      </c>
      <c r="G10" s="15">
        <f>D10-E10-F10+221.8793</f>
        <v>-1797.1716999999994</v>
      </c>
      <c r="H10" s="6">
        <f t="shared" si="0"/>
        <v>-0.26448832212394585</v>
      </c>
    </row>
    <row r="11" spans="1:8" ht="15">
      <c r="A11" s="24"/>
      <c r="B11" s="14" t="s">
        <v>15</v>
      </c>
      <c r="C11" s="5"/>
      <c r="D11" s="17">
        <f>8712+301.611</f>
        <v>9013.611</v>
      </c>
      <c r="E11" s="15">
        <f>15624</f>
        <v>15624</v>
      </c>
      <c r="F11" s="15">
        <f>174</f>
        <v>174</v>
      </c>
      <c r="G11" s="15">
        <f>D11-E11-F11+752.9941</f>
        <v>-6031.394899999999</v>
      </c>
      <c r="H11" s="6">
        <f t="shared" si="0"/>
        <v>-0.8876355649089758</v>
      </c>
    </row>
    <row r="12" spans="1:8" ht="15">
      <c r="A12" s="25"/>
      <c r="B12" s="12" t="s">
        <v>10</v>
      </c>
      <c r="C12" s="12"/>
      <c r="D12" s="13">
        <f>SUM(D10:D11)</f>
        <v>17292.56</v>
      </c>
      <c r="E12" s="16">
        <f>SUM(E10:E11)</f>
        <v>25859</v>
      </c>
      <c r="F12" s="16">
        <f>SUM(F10:F11)</f>
        <v>237</v>
      </c>
      <c r="G12" s="16">
        <f>SUM(G10:G11)</f>
        <v>-7828.566599999998</v>
      </c>
      <c r="H12" s="6">
        <f t="shared" si="0"/>
        <v>-1.1521238870329216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4" sqref="B4:B5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26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">
      <c r="A6" s="9">
        <v>1</v>
      </c>
      <c r="B6" s="10" t="s">
        <v>13</v>
      </c>
      <c r="C6" s="9"/>
      <c r="D6" s="11">
        <f>45.97</f>
        <v>45.97</v>
      </c>
      <c r="E6" s="11">
        <f>16.1041-5.368008+23.4078+0.9389+0.0002</f>
        <v>35.082992</v>
      </c>
      <c r="F6" s="11">
        <v>0</v>
      </c>
      <c r="G6" s="15">
        <f>G7*0.0637+0.0002</f>
        <v>1.4764283900000001</v>
      </c>
      <c r="H6" s="6">
        <f aca="true" t="shared" si="0" ref="H6:H12">G6/6794.9</f>
        <v>0.00021728478564805962</v>
      </c>
      <c r="J6" s="7"/>
    </row>
    <row r="7" spans="1:10" ht="15">
      <c r="A7" s="3">
        <v>2</v>
      </c>
      <c r="B7" s="4" t="s">
        <v>7</v>
      </c>
      <c r="C7" s="6"/>
      <c r="D7" s="6">
        <f>595.9</f>
        <v>595.9</v>
      </c>
      <c r="E7" s="15">
        <f>252.42-84+367.47+14.74</f>
        <v>550.63</v>
      </c>
      <c r="F7" s="15">
        <v>0</v>
      </c>
      <c r="G7" s="15">
        <f>23.1748-0.0001</f>
        <v>23.1747</v>
      </c>
      <c r="H7" s="6">
        <f t="shared" si="0"/>
        <v>0.0034106020691989586</v>
      </c>
      <c r="J7" s="7"/>
    </row>
    <row r="8" spans="1:10" ht="15">
      <c r="A8" s="3">
        <v>3</v>
      </c>
      <c r="B8" s="4" t="s">
        <v>12</v>
      </c>
      <c r="C8" s="5" t="s">
        <v>27</v>
      </c>
      <c r="D8" s="5">
        <f>1037</f>
        <v>1037</v>
      </c>
      <c r="E8" s="15">
        <f>436.2-145.2+576.23+23.15</f>
        <v>890.38</v>
      </c>
      <c r="F8" s="15">
        <f>3</f>
        <v>3</v>
      </c>
      <c r="G8" s="15">
        <f>23.1748-0.0001</f>
        <v>23.1747</v>
      </c>
      <c r="H8" s="6">
        <f t="shared" si="0"/>
        <v>0.0034106020691989586</v>
      </c>
      <c r="J8" s="7"/>
    </row>
    <row r="9" spans="1:8" ht="15">
      <c r="A9" s="3">
        <v>4</v>
      </c>
      <c r="B9" s="4" t="s">
        <v>8</v>
      </c>
      <c r="C9" s="5"/>
      <c r="D9" s="5">
        <f>D7+D8</f>
        <v>1632.9</v>
      </c>
      <c r="E9" s="15">
        <f>531.2-229.2+904.88+28.96+21.42+1.61+179.78+2.36</f>
        <v>1441.01</v>
      </c>
      <c r="F9" s="15">
        <f>F7+F8</f>
        <v>3</v>
      </c>
      <c r="G9" s="15">
        <v>0</v>
      </c>
      <c r="H9" s="6">
        <f t="shared" si="0"/>
        <v>0</v>
      </c>
    </row>
    <row r="10" spans="1:8" ht="15">
      <c r="A10" s="23">
        <v>5</v>
      </c>
      <c r="B10" s="14" t="s">
        <v>14</v>
      </c>
      <c r="C10" s="5"/>
      <c r="D10" s="17">
        <f>10158+7.521</f>
        <v>10165.521</v>
      </c>
      <c r="E10" s="15">
        <f>10619</f>
        <v>10619</v>
      </c>
      <c r="F10" s="15">
        <f>40</f>
        <v>40</v>
      </c>
      <c r="G10" s="15">
        <f>D10-E10-F10+61.4391</f>
        <v>-432.03989999999936</v>
      </c>
      <c r="H10" s="6">
        <f t="shared" si="0"/>
        <v>-0.06358296663674218</v>
      </c>
    </row>
    <row r="11" spans="1:8" ht="15">
      <c r="A11" s="24"/>
      <c r="B11" s="14" t="s">
        <v>15</v>
      </c>
      <c r="C11" s="5"/>
      <c r="D11" s="17">
        <f>9978+266.636</f>
        <v>10244.636</v>
      </c>
      <c r="E11" s="15">
        <f>10430</f>
        <v>10430</v>
      </c>
      <c r="F11" s="15">
        <v>101</v>
      </c>
      <c r="G11" s="15">
        <f>D11-E11-F11-19.5744</f>
        <v>-305.9383999999996</v>
      </c>
      <c r="H11" s="6">
        <f t="shared" si="0"/>
        <v>-0.045024709708752095</v>
      </c>
    </row>
    <row r="12" spans="1:8" ht="15">
      <c r="A12" s="25"/>
      <c r="B12" s="12" t="s">
        <v>10</v>
      </c>
      <c r="C12" s="12"/>
      <c r="D12" s="13">
        <f>SUM(D10:D11)</f>
        <v>20410.157</v>
      </c>
      <c r="E12" s="16">
        <f>SUM(E10:E11)</f>
        <v>21049</v>
      </c>
      <c r="F12" s="16">
        <f>SUM(F10:F11)</f>
        <v>141</v>
      </c>
      <c r="G12" s="16">
        <f>SUM(G10:G11)</f>
        <v>-737.978299999999</v>
      </c>
      <c r="H12" s="6">
        <f t="shared" si="0"/>
        <v>-0.10860767634549427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2" sqref="A2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28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">
      <c r="A6" s="9">
        <v>1</v>
      </c>
      <c r="B6" s="10" t="s">
        <v>13</v>
      </c>
      <c r="C6" s="9"/>
      <c r="D6" s="11">
        <f>41.25</f>
        <v>41.25</v>
      </c>
      <c r="E6" s="11">
        <f>16.0941-4.598309+24.8191+0.2847-4.88432-0.0006</f>
        <v>31.714671000000006</v>
      </c>
      <c r="F6" s="11">
        <v>0</v>
      </c>
      <c r="G6" s="15">
        <f>G7*0.0623+0.0001</f>
        <v>1.4438838100000002</v>
      </c>
      <c r="H6" s="6">
        <f aca="true" t="shared" si="0" ref="H6:H12">G6/6794.9</f>
        <v>0.0002124952258311381</v>
      </c>
      <c r="J6" s="7"/>
    </row>
    <row r="7" spans="1:10" ht="15">
      <c r="A7" s="3">
        <v>2</v>
      </c>
      <c r="B7" s="4" t="s">
        <v>7</v>
      </c>
      <c r="C7" s="6"/>
      <c r="D7" s="6">
        <f>532.9</f>
        <v>532.9</v>
      </c>
      <c r="E7" s="15">
        <f>258.06-73.6+398.38+4.57-78.4</f>
        <v>509.0100000000001</v>
      </c>
      <c r="F7" s="15">
        <v>0</v>
      </c>
      <c r="G7" s="15">
        <f>23.1748-0.0001</f>
        <v>23.1747</v>
      </c>
      <c r="H7" s="6">
        <f t="shared" si="0"/>
        <v>0.0034106020691989586</v>
      </c>
      <c r="J7" s="7"/>
    </row>
    <row r="8" spans="1:10" ht="15">
      <c r="A8" s="3">
        <v>3</v>
      </c>
      <c r="B8" s="4" t="s">
        <v>12</v>
      </c>
      <c r="C8" s="5" t="s">
        <v>29</v>
      </c>
      <c r="D8" s="5">
        <f>90955-90088</f>
        <v>867</v>
      </c>
      <c r="E8" s="15">
        <f>427.77-122.22+580.16+21.19-124.16</f>
        <v>782.74</v>
      </c>
      <c r="F8" s="15">
        <f>3</f>
        <v>3</v>
      </c>
      <c r="G8" s="15">
        <f>23.1748-0.0001</f>
        <v>23.1747</v>
      </c>
      <c r="H8" s="6">
        <f t="shared" si="0"/>
        <v>0.0034106020691989586</v>
      </c>
      <c r="J8" s="7"/>
    </row>
    <row r="9" spans="1:8" ht="15">
      <c r="A9" s="3">
        <v>4</v>
      </c>
      <c r="B9" s="4" t="s">
        <v>8</v>
      </c>
      <c r="C9" s="5"/>
      <c r="D9" s="5">
        <f>D7+D8</f>
        <v>1399.9</v>
      </c>
      <c r="E9" s="15">
        <f>545.6-155.76+922.73+8.87+20.12+1.69-3.2+190.91+0.21-36.86-202.56</f>
        <v>1291.7500000000002</v>
      </c>
      <c r="F9" s="15">
        <f>F7+F8</f>
        <v>3</v>
      </c>
      <c r="G9" s="15">
        <v>0</v>
      </c>
      <c r="H9" s="6">
        <f t="shared" si="0"/>
        <v>0</v>
      </c>
    </row>
    <row r="10" spans="1:8" ht="15">
      <c r="A10" s="23">
        <v>5</v>
      </c>
      <c r="B10" s="14" t="s">
        <v>14</v>
      </c>
      <c r="C10" s="5"/>
      <c r="D10" s="17">
        <f>12832+10.53</f>
        <v>12842.53</v>
      </c>
      <c r="E10" s="15">
        <f>11505-1150</f>
        <v>10355</v>
      </c>
      <c r="F10" s="15">
        <f>42</f>
        <v>42</v>
      </c>
      <c r="G10" s="15">
        <f>D10-E10-F10+0.0011</f>
        <v>2445.5311000000006</v>
      </c>
      <c r="H10" s="6">
        <f t="shared" si="0"/>
        <v>0.3599068566130481</v>
      </c>
    </row>
    <row r="11" spans="1:8" ht="15">
      <c r="A11" s="24"/>
      <c r="B11" s="14" t="s">
        <v>15</v>
      </c>
      <c r="C11" s="5"/>
      <c r="D11" s="17">
        <f>10852+280.175</f>
        <v>11132.175</v>
      </c>
      <c r="E11" s="15">
        <f>10402</f>
        <v>10402</v>
      </c>
      <c r="F11" s="15">
        <v>99</v>
      </c>
      <c r="G11" s="15">
        <f>D11-E11-F11+0.0008</f>
        <v>631.1757999999993</v>
      </c>
      <c r="H11" s="6">
        <f t="shared" si="0"/>
        <v>0.09288963781659765</v>
      </c>
    </row>
    <row r="12" spans="1:8" ht="15">
      <c r="A12" s="25"/>
      <c r="B12" s="12" t="s">
        <v>10</v>
      </c>
      <c r="C12" s="12"/>
      <c r="D12" s="13">
        <f>SUM(D10:D11)</f>
        <v>23974.705</v>
      </c>
      <c r="E12" s="16">
        <f>SUM(E10:E11)</f>
        <v>20757</v>
      </c>
      <c r="F12" s="16">
        <f>SUM(F10:F11)</f>
        <v>141</v>
      </c>
      <c r="G12" s="16">
        <f>SUM(G10:G11)</f>
        <v>3076.7069</v>
      </c>
      <c r="H12" s="6">
        <f t="shared" si="0"/>
        <v>0.4527964944296458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22" sqref="E22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30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">
      <c r="A6" s="9">
        <v>1</v>
      </c>
      <c r="B6" s="10" t="s">
        <v>13</v>
      </c>
      <c r="C6" s="9"/>
      <c r="D6" s="11">
        <f>35.92</f>
        <v>35.92</v>
      </c>
      <c r="E6" s="11">
        <f>15.9774-4.564965+19.686+1.1832-4.90112+0.0005</f>
        <v>27.381015</v>
      </c>
      <c r="F6" s="11">
        <v>0</v>
      </c>
      <c r="G6" s="15">
        <f>27.2052*0.0547-0.0007</f>
        <v>1.48742444</v>
      </c>
      <c r="H6" s="6">
        <f>G6/6794.9</f>
        <v>0.00021890306553444498</v>
      </c>
      <c r="J6" s="7"/>
    </row>
    <row r="7" spans="1:10" ht="15">
      <c r="A7" s="3">
        <v>2</v>
      </c>
      <c r="B7" s="4" t="s">
        <v>7</v>
      </c>
      <c r="C7" s="6"/>
      <c r="D7" s="6">
        <f>496.1</f>
        <v>496.1</v>
      </c>
      <c r="E7" s="15">
        <f>291.72-83.2+359.89+21.63-89.6</f>
        <v>500.44000000000005</v>
      </c>
      <c r="F7" s="15">
        <v>0</v>
      </c>
      <c r="G7" s="15">
        <f>D7-E7-F7+0.4145</f>
        <v>-3.925500000000032</v>
      </c>
      <c r="H7" s="6">
        <f aca="true" t="shared" si="0" ref="H7:H12">G7/6794.9</f>
        <v>-0.0005777126962869258</v>
      </c>
      <c r="J7" s="7"/>
    </row>
    <row r="8" spans="1:10" ht="15">
      <c r="A8" s="3">
        <v>3</v>
      </c>
      <c r="B8" s="4" t="s">
        <v>12</v>
      </c>
      <c r="C8" s="5" t="s">
        <v>31</v>
      </c>
      <c r="D8" s="5">
        <f>92217-90955</f>
        <v>1262</v>
      </c>
      <c r="E8" s="15">
        <f>475.3-135.8+646.22+52.82-135.8</f>
        <v>902.74</v>
      </c>
      <c r="F8" s="15">
        <f>1</f>
        <v>1</v>
      </c>
      <c r="G8" s="15">
        <f>27.2052-0.0028</f>
        <v>27.2024</v>
      </c>
      <c r="H8" s="6">
        <f t="shared" si="0"/>
        <v>0.004003355457769798</v>
      </c>
      <c r="J8" s="7"/>
    </row>
    <row r="9" spans="1:8" ht="15">
      <c r="A9" s="3">
        <v>4</v>
      </c>
      <c r="B9" s="4" t="s">
        <v>8</v>
      </c>
      <c r="C9" s="5"/>
      <c r="D9" s="5">
        <f>D7+D8</f>
        <v>1758.1</v>
      </c>
      <c r="E9" s="15">
        <f>620-177+939.93+65.1-225.4+20.12+1.72-3.2+197.94+2.77-38.8</f>
        <v>1403.1799999999996</v>
      </c>
      <c r="F9" s="15">
        <f>F7+F8</f>
        <v>1</v>
      </c>
      <c r="G9" s="15">
        <v>0</v>
      </c>
      <c r="H9" s="6">
        <f t="shared" si="0"/>
        <v>0</v>
      </c>
    </row>
    <row r="10" spans="1:8" ht="15">
      <c r="A10" s="23">
        <v>5</v>
      </c>
      <c r="B10" s="14" t="s">
        <v>14</v>
      </c>
      <c r="C10" s="5"/>
      <c r="D10" s="17">
        <f>13435+26.701</f>
        <v>13461.701</v>
      </c>
      <c r="E10" s="15">
        <f>12231</f>
        <v>12231</v>
      </c>
      <c r="F10" s="15">
        <f>61</f>
        <v>61</v>
      </c>
      <c r="G10" s="15">
        <f>D10-E10-F10</f>
        <v>1169.700999999999</v>
      </c>
      <c r="H10" s="6">
        <f t="shared" si="0"/>
        <v>0.17214396091186024</v>
      </c>
    </row>
    <row r="11" spans="1:8" ht="15">
      <c r="A11" s="24"/>
      <c r="B11" s="14" t="s">
        <v>15</v>
      </c>
      <c r="C11" s="5"/>
      <c r="D11" s="17">
        <f>11430</f>
        <v>11430</v>
      </c>
      <c r="E11" s="15">
        <f>8128</f>
        <v>8128</v>
      </c>
      <c r="F11" s="15">
        <f>141</f>
        <v>141</v>
      </c>
      <c r="G11" s="15">
        <f>D11-E11-F11+0.0007</f>
        <v>3161.0007</v>
      </c>
      <c r="H11" s="6">
        <f t="shared" si="0"/>
        <v>0.4652019455768297</v>
      </c>
    </row>
    <row r="12" spans="1:8" ht="15">
      <c r="A12" s="25"/>
      <c r="B12" s="12" t="s">
        <v>10</v>
      </c>
      <c r="C12" s="12"/>
      <c r="D12" s="13">
        <f>SUM(D10:D11)</f>
        <v>24891.701</v>
      </c>
      <c r="E12" s="16">
        <f>SUM(E10:E11)</f>
        <v>20359</v>
      </c>
      <c r="F12" s="16">
        <f>SUM(F10:F11)</f>
        <v>202</v>
      </c>
      <c r="G12" s="16">
        <f>SUM(G10:G11)</f>
        <v>4330.7017</v>
      </c>
      <c r="H12" s="6">
        <f t="shared" si="0"/>
        <v>0.63734590648869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9" sqref="D9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3.00390625" style="0" customWidth="1"/>
    <col min="9" max="9" width="9.57421875" style="0" bestFit="1" customWidth="1"/>
  </cols>
  <sheetData>
    <row r="2" spans="2:3" ht="15.75">
      <c r="B2" s="8" t="s">
        <v>32</v>
      </c>
      <c r="C2" s="8"/>
    </row>
    <row r="3" spans="1:8" ht="1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72" customHeight="1">
      <c r="A4" s="29" t="s">
        <v>0</v>
      </c>
      <c r="B4" s="26" t="s">
        <v>1</v>
      </c>
      <c r="C4" s="29" t="s">
        <v>2</v>
      </c>
      <c r="D4" s="29" t="s">
        <v>9</v>
      </c>
      <c r="E4" s="29" t="s">
        <v>3</v>
      </c>
      <c r="F4" s="29" t="s">
        <v>4</v>
      </c>
      <c r="G4" s="29" t="s">
        <v>5</v>
      </c>
      <c r="H4" s="26" t="s">
        <v>6</v>
      </c>
    </row>
    <row r="5" spans="1:8" ht="15" customHeight="1">
      <c r="A5" s="30"/>
      <c r="B5" s="27"/>
      <c r="C5" s="30"/>
      <c r="D5" s="30"/>
      <c r="E5" s="30"/>
      <c r="F5" s="30"/>
      <c r="G5" s="30"/>
      <c r="H5" s="27"/>
    </row>
    <row r="6" spans="1:10" ht="15">
      <c r="A6" s="9">
        <v>1</v>
      </c>
      <c r="B6" s="10" t="s">
        <v>13</v>
      </c>
      <c r="C6" s="9"/>
      <c r="D6" s="11">
        <f>46.64</f>
        <v>46.64</v>
      </c>
      <c r="E6" s="11">
        <f>14.9204-4.26299+27.813+7.231-0.0006</f>
        <v>45.700810000000004</v>
      </c>
      <c r="F6" s="11">
        <v>0</v>
      </c>
      <c r="G6" s="15">
        <f>D6-E6-F6-0.0006</f>
        <v>0.9385899999999964</v>
      </c>
      <c r="H6" s="6">
        <f aca="true" t="shared" si="0" ref="H6:H12">G6/6794.9</f>
        <v>0.00013813153983134358</v>
      </c>
      <c r="J6" s="7"/>
    </row>
    <row r="7" spans="1:10" ht="15">
      <c r="A7" s="3">
        <v>2</v>
      </c>
      <c r="B7" s="4" t="s">
        <v>7</v>
      </c>
      <c r="C7" s="6"/>
      <c r="D7" s="6">
        <f>676.2</f>
        <v>676.2</v>
      </c>
      <c r="E7" s="15">
        <f>246.84-70.4+460.48+119.72</f>
        <v>756.6400000000001</v>
      </c>
      <c r="F7" s="15">
        <v>0</v>
      </c>
      <c r="G7" s="15">
        <f>D7-E7-F7+7.6488</f>
        <v>-72.79120000000006</v>
      </c>
      <c r="H7" s="6">
        <f t="shared" si="0"/>
        <v>-0.010712622702320868</v>
      </c>
      <c r="J7" s="7"/>
    </row>
    <row r="8" spans="1:10" ht="15">
      <c r="A8" s="3">
        <v>3</v>
      </c>
      <c r="B8" s="4" t="s">
        <v>12</v>
      </c>
      <c r="C8" s="5" t="s">
        <v>33</v>
      </c>
      <c r="D8" s="5">
        <f>93238-92217</f>
        <v>1021</v>
      </c>
      <c r="E8" s="15">
        <f>420.98-120.28+623.21+16.74</f>
        <v>940.6500000000001</v>
      </c>
      <c r="F8" s="15">
        <f>4</f>
        <v>4</v>
      </c>
      <c r="G8" s="15">
        <f>27.2052-0.0028</f>
        <v>27.2024</v>
      </c>
      <c r="H8" s="6">
        <f t="shared" si="0"/>
        <v>0.004003355457769798</v>
      </c>
      <c r="J8" s="7"/>
    </row>
    <row r="9" spans="1:8" ht="15">
      <c r="A9" s="3">
        <v>4</v>
      </c>
      <c r="B9" s="4" t="s">
        <v>8</v>
      </c>
      <c r="C9" s="5"/>
      <c r="D9" s="5">
        <f>D7+D8</f>
        <v>1697.2</v>
      </c>
      <c r="E9" s="15">
        <f>520.8-148.68+1015.47+28.6+18.74-3.2+198.72+105.64-38.8</f>
        <v>1697.29</v>
      </c>
      <c r="F9" s="15">
        <f>F7+F8</f>
        <v>4</v>
      </c>
      <c r="G9" s="15">
        <v>0</v>
      </c>
      <c r="H9" s="6">
        <f t="shared" si="0"/>
        <v>0</v>
      </c>
    </row>
    <row r="10" spans="1:8" ht="15">
      <c r="A10" s="23">
        <v>5</v>
      </c>
      <c r="B10" s="14" t="s">
        <v>14</v>
      </c>
      <c r="C10" s="5"/>
      <c r="D10" s="17">
        <f>16535+75.967</f>
        <v>16610.967</v>
      </c>
      <c r="E10" s="15">
        <f>19490-1129</f>
        <v>18361</v>
      </c>
      <c r="F10" s="15">
        <f>69</f>
        <v>69</v>
      </c>
      <c r="G10" s="15">
        <f>D10-E10-F10-0.0003</f>
        <v>-1819.0332999999994</v>
      </c>
      <c r="H10" s="6">
        <f t="shared" si="0"/>
        <v>-0.2677056763160605</v>
      </c>
    </row>
    <row r="11" spans="1:8" ht="15">
      <c r="A11" s="24"/>
      <c r="B11" s="14" t="s">
        <v>15</v>
      </c>
      <c r="C11" s="5"/>
      <c r="D11" s="17">
        <f>15192</f>
        <v>15192</v>
      </c>
      <c r="E11" s="15">
        <f>9259</f>
        <v>9259</v>
      </c>
      <c r="F11" s="15">
        <f>140</f>
        <v>140</v>
      </c>
      <c r="G11" s="15">
        <f>D11-E11-F11+0.0006</f>
        <v>5793.0006</v>
      </c>
      <c r="H11" s="6">
        <f t="shared" si="0"/>
        <v>0.8525512663909698</v>
      </c>
    </row>
    <row r="12" spans="1:8" ht="15">
      <c r="A12" s="25"/>
      <c r="B12" s="12" t="s">
        <v>10</v>
      </c>
      <c r="C12" s="12"/>
      <c r="D12" s="13">
        <f>SUM(D10:D11)</f>
        <v>31802.967</v>
      </c>
      <c r="E12" s="16">
        <f>SUM(E10:E11)</f>
        <v>27620</v>
      </c>
      <c r="F12" s="16">
        <f>SUM(F10:F11)</f>
        <v>209</v>
      </c>
      <c r="G12" s="16">
        <f>SUM(G10:G11)</f>
        <v>3973.967300000001</v>
      </c>
      <c r="H12" s="6">
        <f t="shared" si="0"/>
        <v>0.5848455900749093</v>
      </c>
    </row>
    <row r="13" spans="1:6" ht="15">
      <c r="A13" s="1"/>
      <c r="B13" s="1"/>
      <c r="C13" s="1"/>
      <c r="D13" s="1"/>
      <c r="E13" s="1"/>
      <c r="F13" s="2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0:A12"/>
    <mergeCell ref="H4:H5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2012-11-21T12:05:54Z</cp:lastPrinted>
  <dcterms:created xsi:type="dcterms:W3CDTF">2006-09-16T00:00:00Z</dcterms:created>
  <dcterms:modified xsi:type="dcterms:W3CDTF">2017-01-31T12:06:12Z</dcterms:modified>
  <cp:category/>
  <cp:version/>
  <cp:contentType/>
  <cp:contentStatus/>
</cp:coreProperties>
</file>