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7" activeTab="11"/>
  </bookViews>
  <sheets>
    <sheet name="97 (январь) " sheetId="1" r:id="rId1"/>
    <sheet name="97 (февраль)" sheetId="2" r:id="rId2"/>
    <sheet name="97 (март)" sheetId="3" r:id="rId3"/>
    <sheet name="97 (апрель)" sheetId="4" r:id="rId4"/>
    <sheet name="97 (май)" sheetId="5" r:id="rId5"/>
    <sheet name="97 (июнь)" sheetId="6" r:id="rId6"/>
    <sheet name="97 (июль)" sheetId="7" r:id="rId7"/>
    <sheet name="97 (август)" sheetId="8" r:id="rId8"/>
    <sheet name="97 (сентябрь)" sheetId="9" r:id="rId9"/>
    <sheet name="97 (октябрь)" sheetId="10" r:id="rId10"/>
    <sheet name="97 (ноябрь)" sheetId="11" r:id="rId11"/>
    <sheet name="97 (декабрь)" sheetId="12" r:id="rId12"/>
  </sheets>
  <definedNames/>
  <calcPr fullCalcOnLoad="1"/>
</workbook>
</file>

<file path=xl/sharedStrings.xml><?xml version="1.0" encoding="utf-8"?>
<sst xmlns="http://schemas.openxmlformats.org/spreadsheetml/2006/main" count="300" uniqueCount="50">
  <si>
    <t xml:space="preserve"> </t>
  </si>
  <si>
    <t>Услуга</t>
  </si>
  <si>
    <t xml:space="preserve">показания общедомового прибора учета </t>
  </si>
  <si>
    <t>начисление по индивидуальным приборам учета и нормативу</t>
  </si>
  <si>
    <t>начисление сторонним потребителям</t>
  </si>
  <si>
    <t>итого к предъявлению ОДН</t>
  </si>
  <si>
    <t>на 1 кв.м</t>
  </si>
  <si>
    <t>показания прибора учета (моп, лифты, дымоудаление)</t>
  </si>
  <si>
    <t>Репина 97</t>
  </si>
  <si>
    <t>ГВС (тонн)</t>
  </si>
  <si>
    <t>водоотведение(тонн)</t>
  </si>
  <si>
    <t>объем потребления</t>
  </si>
  <si>
    <t>показание 1</t>
  </si>
  <si>
    <t>показание 2</t>
  </si>
  <si>
    <t>итого по эл.эн.</t>
  </si>
  <si>
    <t>эл.эн.день № сч.086788</t>
  </si>
  <si>
    <t>эл.эн.ночь № сч.086788</t>
  </si>
  <si>
    <t>эл.эн.день № сч.501941</t>
  </si>
  <si>
    <t>эл.эн.ночь № сч.501941</t>
  </si>
  <si>
    <t>день эл.эн.</t>
  </si>
  <si>
    <t>ночь эл.эн.</t>
  </si>
  <si>
    <t>ХВС (тонн)</t>
  </si>
  <si>
    <t>нагрев воды (Г.кал.)</t>
  </si>
  <si>
    <t>Объем коммунальных услуг по показаниям общедомовых приборов учета (ОДН) за январь в феврале 2014г.</t>
  </si>
  <si>
    <t>10262,/11121</t>
  </si>
  <si>
    <t>Объем коммунальных услуг по показаниям общедомовых приборов учета (ОДН) за февраль в марте 2014г.</t>
  </si>
  <si>
    <t>11121,/12274</t>
  </si>
  <si>
    <t>Объем коммунальных услуг по показаниям общедомовых приборов учета (ОДН) за март в апреле 2014г.</t>
  </si>
  <si>
    <t>12274,/13362</t>
  </si>
  <si>
    <t>Объем коммунальных услуг по показаниям общедомовых приборов учета (ОДН) за апрель в мае 2014г.</t>
  </si>
  <si>
    <t>ГВС (м3)</t>
  </si>
  <si>
    <t>ХВС (м3)</t>
  </si>
  <si>
    <t>13362,/14591</t>
  </si>
  <si>
    <t>водоотведение(м3)</t>
  </si>
  <si>
    <t>Объем коммунальных услуг по показаниям общедомовых приборов учета (ОДН) за май в июне 2014г.</t>
  </si>
  <si>
    <t>14591,/15826</t>
  </si>
  <si>
    <t>Объем коммунальных услуг по показаниям общедомовых приборов учета (ОДН) за июнь в июле 2014г.</t>
  </si>
  <si>
    <t>15826,/16920</t>
  </si>
  <si>
    <t>Объем коммунальных услуг по показаниям общедомовых приборов учета (ОДН) за июль в августе 2014г.</t>
  </si>
  <si>
    <t>16920,/18090</t>
  </si>
  <si>
    <t>Объем коммунальных услуг по показаниям общедомовых приборов учета (ОДН) за август в сентябре 2014г.</t>
  </si>
  <si>
    <t>18090,/19330</t>
  </si>
  <si>
    <t>Объем коммунальных услуг по показаниям общедомовых приборов учета (ОДН) за сентябрь в октябре 2014г.</t>
  </si>
  <si>
    <t>19330,/20389</t>
  </si>
  <si>
    <t>Объем коммунальных услуг по показаниям общедомовых приборов учета (ОДН) за октябрь в ноябре 2014г.</t>
  </si>
  <si>
    <t>20389,/21598</t>
  </si>
  <si>
    <t>Объем коммунальных услуг по показаниям общедомовых приборов учета (ОДН) за ноябрь в декабре 2014г.</t>
  </si>
  <si>
    <t>21598,/22696</t>
  </si>
  <si>
    <t>Объем коммунальных услуг по показаниям общедомовых приборов учета (ОДН) за декабрь в январе 2015г.</t>
  </si>
  <si>
    <t>22696,/24032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</si>
</sst>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00"/>
    <numFmt numFmtId="167" formatCode="0.0"/>
    <numFmt numFmtId="168" formatCode="#,##0.0000"/>
    <numFmt numFmtId="169" formatCode="#,##0.000"/>
  </numFmts>
  <fonts count="19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4" fontId="0" fillId="24" borderId="10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24" borderId="0" xfId="0" applyNumberForma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3" sqref="F13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23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80.21+1.48+0.52+0.52+19.01+0.48</f>
        <v>102.22</v>
      </c>
      <c r="G7" s="20">
        <f>G8*0.0478</f>
        <v>54.182800920000005</v>
      </c>
      <c r="H7" s="20">
        <f>1.48+0.52+0.52+0.48</f>
        <v>3</v>
      </c>
      <c r="I7" s="20">
        <f>I8*0.0478</f>
        <v>1.8099374400000001</v>
      </c>
      <c r="J7" s="7">
        <f>I7/9658.9</f>
        <v>0.00018738546211266295</v>
      </c>
      <c r="L7" s="9"/>
    </row>
    <row r="8" spans="1:12" ht="15">
      <c r="A8" s="3">
        <v>2</v>
      </c>
      <c r="B8" s="4" t="s">
        <v>9</v>
      </c>
      <c r="C8" s="7"/>
      <c r="D8" s="5"/>
      <c r="E8" s="5"/>
      <c r="F8" s="7">
        <f>1133.42+23+7.14+7.14+292.32+10.35</f>
        <v>1473.3700000000001</v>
      </c>
      <c r="G8" s="6">
        <f>615.8214+438.31+79.4</f>
        <v>1133.5314</v>
      </c>
      <c r="H8" s="6">
        <f>23+7.14+7.14+10.35</f>
        <v>47.63</v>
      </c>
      <c r="I8" s="6">
        <v>37.8648</v>
      </c>
      <c r="J8" s="7">
        <f aca="true" t="shared" si="0" ref="J8:J17">I8/9658.9</f>
        <v>0.00392019795214776</v>
      </c>
      <c r="L8" s="9"/>
    </row>
    <row r="9" spans="1:12" ht="15">
      <c r="A9" s="3">
        <v>3</v>
      </c>
      <c r="B9" s="4" t="s">
        <v>21</v>
      </c>
      <c r="C9" s="6" t="s">
        <v>24</v>
      </c>
      <c r="D9" s="5"/>
      <c r="E9" s="5"/>
      <c r="F9" s="6">
        <f>859</f>
        <v>859</v>
      </c>
      <c r="G9" s="6">
        <f>730.2714+458.13+210.76</f>
        <v>1399.1614</v>
      </c>
      <c r="H9" s="6">
        <f>17+32+38.8</f>
        <v>87.8</v>
      </c>
      <c r="I9" s="6">
        <f>F9-G9-H9</f>
        <v>-627.9613999999999</v>
      </c>
      <c r="J9" s="7">
        <f t="shared" si="0"/>
        <v>-0.06501375933077265</v>
      </c>
      <c r="L9" s="9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2332.37</v>
      </c>
      <c r="G10" s="6">
        <f>1325.2029+908.47+268.41+21.75+8.86</f>
        <v>2532.6929</v>
      </c>
      <c r="H10" s="6">
        <f>H8+H9-38.8+70.88</f>
        <v>167.51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2895</v>
      </c>
      <c r="E11" s="10">
        <v>2928</v>
      </c>
      <c r="F11" s="7">
        <f>(E11-D11)*15</f>
        <v>495</v>
      </c>
      <c r="G11" s="6">
        <v>0</v>
      </c>
      <c r="H11" s="6">
        <v>0</v>
      </c>
      <c r="I11" s="6">
        <f>F11-G11-H11</f>
        <v>495</v>
      </c>
      <c r="J11" s="7">
        <f t="shared" si="0"/>
        <v>0.051248071726594124</v>
      </c>
    </row>
    <row r="12" spans="1:10" ht="15">
      <c r="A12" s="32"/>
      <c r="B12" s="4" t="s">
        <v>16</v>
      </c>
      <c r="C12" s="6"/>
      <c r="D12" s="10">
        <v>2241</v>
      </c>
      <c r="E12" s="10">
        <v>2273</v>
      </c>
      <c r="F12" s="7">
        <f>(E12-D12)*15</f>
        <v>480</v>
      </c>
      <c r="G12" s="6">
        <v>0</v>
      </c>
      <c r="H12" s="6">
        <v>0</v>
      </c>
      <c r="I12" s="6">
        <f>F12-G12-H12</f>
        <v>480</v>
      </c>
      <c r="J12" s="7">
        <f t="shared" si="0"/>
        <v>0.049695099856091274</v>
      </c>
    </row>
    <row r="13" spans="1:10" ht="15">
      <c r="A13" s="32"/>
      <c r="B13" s="4" t="s">
        <v>17</v>
      </c>
      <c r="C13" s="6"/>
      <c r="D13" s="10">
        <v>5581</v>
      </c>
      <c r="E13" s="10">
        <v>5705</v>
      </c>
      <c r="F13" s="7">
        <f>(E13-D13)*10</f>
        <v>1240</v>
      </c>
      <c r="G13" s="6">
        <v>0</v>
      </c>
      <c r="H13" s="6">
        <v>0</v>
      </c>
      <c r="I13" s="6">
        <f>F13-G13-H13</f>
        <v>1240</v>
      </c>
      <c r="J13" s="7">
        <f t="shared" si="0"/>
        <v>0.12837900796156912</v>
      </c>
    </row>
    <row r="14" spans="1:10" ht="15">
      <c r="A14" s="32"/>
      <c r="B14" s="4" t="s">
        <v>18</v>
      </c>
      <c r="C14" s="6"/>
      <c r="D14" s="10">
        <v>7544</v>
      </c>
      <c r="E14" s="10">
        <v>7753</v>
      </c>
      <c r="F14" s="7">
        <f>(E14-D14)*10</f>
        <v>2090</v>
      </c>
      <c r="G14" s="6">
        <v>0</v>
      </c>
      <c r="H14" s="6">
        <v>0</v>
      </c>
      <c r="I14" s="6">
        <f>F14-G14-H14</f>
        <v>2090</v>
      </c>
      <c r="J14" s="7">
        <f t="shared" si="0"/>
        <v>0.2163807472900641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4305</v>
      </c>
      <c r="G15" s="22">
        <f>SUM(G11:G14)</f>
        <v>0</v>
      </c>
      <c r="H15" s="22">
        <f>SUM(H11:H14)</f>
        <v>0</v>
      </c>
      <c r="I15" s="22">
        <f>SUM(I11:I14)</f>
        <v>4305</v>
      </c>
      <c r="J15" s="7">
        <f t="shared" si="0"/>
        <v>0.4457029268343186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1735</v>
      </c>
      <c r="G16" s="23">
        <f t="shared" si="1"/>
        <v>0</v>
      </c>
      <c r="H16" s="23">
        <f t="shared" si="1"/>
        <v>0</v>
      </c>
      <c r="I16" s="23">
        <f t="shared" si="1"/>
        <v>1735</v>
      </c>
      <c r="J16" s="7">
        <f t="shared" si="0"/>
        <v>0.17962707968816324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2570</v>
      </c>
      <c r="G17" s="11">
        <f t="shared" si="1"/>
        <v>0</v>
      </c>
      <c r="H17" s="11">
        <f t="shared" si="1"/>
        <v>0</v>
      </c>
      <c r="I17" s="11">
        <f t="shared" si="1"/>
        <v>2570</v>
      </c>
      <c r="J17" s="7">
        <f t="shared" si="0"/>
        <v>0.26607584714615534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44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v>72.66000000000001</v>
      </c>
      <c r="G7" s="20">
        <v>43.8571692</v>
      </c>
      <c r="H7" s="20">
        <v>0.15</v>
      </c>
      <c r="I7" s="6">
        <v>1.8099374400000001</v>
      </c>
      <c r="J7" s="7">
        <v>0.00018918547507055505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v>1138.7</v>
      </c>
      <c r="G8" s="6">
        <v>917.514</v>
      </c>
      <c r="H8" s="6">
        <v>45.47</v>
      </c>
      <c r="I8" s="6">
        <v>37.8648</v>
      </c>
      <c r="J8" s="7">
        <v>0.003957855126999059</v>
      </c>
      <c r="L8" s="9"/>
    </row>
    <row r="9" spans="1:12" ht="15">
      <c r="A9" s="3">
        <v>3</v>
      </c>
      <c r="B9" s="4" t="s">
        <v>31</v>
      </c>
      <c r="C9" s="6" t="s">
        <v>45</v>
      </c>
      <c r="D9" s="5"/>
      <c r="E9" s="5"/>
      <c r="F9" s="6">
        <v>1209</v>
      </c>
      <c r="G9" s="6">
        <v>1035.3799999999999</v>
      </c>
      <c r="H9" s="6">
        <v>82.8</v>
      </c>
      <c r="I9" s="6">
        <v>37.8648</v>
      </c>
      <c r="J9" s="7">
        <v>0.003957855126999059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v>2347.7</v>
      </c>
      <c r="G10" s="6">
        <v>1952.894</v>
      </c>
      <c r="H10" s="6">
        <v>160.34999999999997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10">
        <v>3203</v>
      </c>
      <c r="E11" s="10">
        <v>3237</v>
      </c>
      <c r="F11" s="7">
        <v>510</v>
      </c>
      <c r="G11" s="6">
        <v>0</v>
      </c>
      <c r="H11" s="6">
        <v>0</v>
      </c>
      <c r="I11" s="6">
        <v>510</v>
      </c>
      <c r="J11" s="7">
        <v>0.0533082470994042</v>
      </c>
    </row>
    <row r="12" spans="1:10" ht="15">
      <c r="A12" s="32"/>
      <c r="B12" s="4" t="s">
        <v>16</v>
      </c>
      <c r="C12" s="6"/>
      <c r="D12" s="10">
        <v>2431</v>
      </c>
      <c r="E12" s="10">
        <v>2452</v>
      </c>
      <c r="F12" s="7">
        <v>315</v>
      </c>
      <c r="G12" s="6">
        <v>0</v>
      </c>
      <c r="H12" s="6">
        <v>0</v>
      </c>
      <c r="I12" s="6">
        <v>315</v>
      </c>
      <c r="J12" s="7">
        <v>0.03292568203198495</v>
      </c>
    </row>
    <row r="13" spans="1:10" ht="15">
      <c r="A13" s="32"/>
      <c r="B13" s="4" t="s">
        <v>17</v>
      </c>
      <c r="C13" s="6"/>
      <c r="D13" s="10">
        <v>6353</v>
      </c>
      <c r="E13" s="10">
        <v>6468</v>
      </c>
      <c r="F13" s="7">
        <v>1150</v>
      </c>
      <c r="G13" s="6">
        <v>0</v>
      </c>
      <c r="H13" s="6">
        <v>0</v>
      </c>
      <c r="I13" s="6">
        <v>1150</v>
      </c>
      <c r="J13" s="7">
        <v>0.12020487091042124</v>
      </c>
    </row>
    <row r="14" spans="1:10" ht="15">
      <c r="A14" s="32"/>
      <c r="B14" s="4" t="s">
        <v>18</v>
      </c>
      <c r="C14" s="6"/>
      <c r="D14" s="10">
        <v>8637</v>
      </c>
      <c r="E14" s="10">
        <v>8803</v>
      </c>
      <c r="F14" s="7">
        <v>1660</v>
      </c>
      <c r="G14" s="6">
        <v>0</v>
      </c>
      <c r="H14" s="6">
        <v>0</v>
      </c>
      <c r="I14" s="6">
        <v>1660</v>
      </c>
      <c r="J14" s="7">
        <v>0.17351311800982544</v>
      </c>
    </row>
    <row r="15" spans="1:12" ht="15">
      <c r="A15" s="33"/>
      <c r="B15" s="21" t="s">
        <v>14</v>
      </c>
      <c r="C15" s="21"/>
      <c r="D15" s="8"/>
      <c r="E15" s="21"/>
      <c r="F15" s="22">
        <v>3635</v>
      </c>
      <c r="G15" s="22">
        <v>0</v>
      </c>
      <c r="H15" s="22">
        <v>0</v>
      </c>
      <c r="I15" s="22">
        <v>3635</v>
      </c>
      <c r="J15" s="7">
        <v>0.3799519180516358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v>1660</v>
      </c>
      <c r="G16" s="23">
        <v>0</v>
      </c>
      <c r="H16" s="23">
        <v>0</v>
      </c>
      <c r="I16" s="23">
        <v>1660</v>
      </c>
      <c r="J16" s="7">
        <v>0.17351311800982544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v>1975</v>
      </c>
      <c r="G17" s="11">
        <v>0</v>
      </c>
      <c r="H17" s="11">
        <v>0</v>
      </c>
      <c r="I17" s="11">
        <v>1975</v>
      </c>
      <c r="J17" s="7">
        <v>0.2064388000418104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46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v>75.09</v>
      </c>
      <c r="G7" s="20">
        <v>47.316828040000004</v>
      </c>
      <c r="H7" s="20">
        <v>0.16</v>
      </c>
      <c r="I7" s="6">
        <v>1.8099374400000001</v>
      </c>
      <c r="J7" s="7">
        <v>0.00018918547507055505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v>1118.2</v>
      </c>
      <c r="G8" s="6">
        <v>989.8918</v>
      </c>
      <c r="H8" s="6">
        <v>18.46</v>
      </c>
      <c r="I8" s="6">
        <v>37.8648</v>
      </c>
      <c r="J8" s="7">
        <v>0.003957855126999059</v>
      </c>
      <c r="L8" s="9"/>
    </row>
    <row r="9" spans="1:12" ht="15">
      <c r="A9" s="3">
        <v>3</v>
      </c>
      <c r="B9" s="4" t="s">
        <v>31</v>
      </c>
      <c r="C9" s="6" t="s">
        <v>47</v>
      </c>
      <c r="D9" s="5"/>
      <c r="E9" s="5"/>
      <c r="F9" s="6">
        <v>1098</v>
      </c>
      <c r="G9" s="6">
        <v>1137.8818999999999</v>
      </c>
      <c r="H9" s="6">
        <v>58.8</v>
      </c>
      <c r="I9" s="6">
        <v>-98.68189999999986</v>
      </c>
      <c r="J9" s="7">
        <v>-0.010314821783213114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v>2216.2</v>
      </c>
      <c r="G10" s="6">
        <v>2127.7737</v>
      </c>
      <c r="H10" s="6">
        <v>109.33999999999999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10">
        <v>3237</v>
      </c>
      <c r="E11" s="10">
        <v>3275</v>
      </c>
      <c r="F11" s="7">
        <v>570</v>
      </c>
      <c r="G11" s="6">
        <v>0</v>
      </c>
      <c r="H11" s="6">
        <v>0</v>
      </c>
      <c r="I11" s="6">
        <v>570</v>
      </c>
      <c r="J11" s="7">
        <v>0.05957980558168705</v>
      </c>
    </row>
    <row r="12" spans="1:10" ht="15">
      <c r="A12" s="32"/>
      <c r="B12" s="4" t="s">
        <v>16</v>
      </c>
      <c r="C12" s="6"/>
      <c r="D12" s="10">
        <v>2452</v>
      </c>
      <c r="E12" s="10">
        <v>2475</v>
      </c>
      <c r="F12" s="7">
        <v>345</v>
      </c>
      <c r="G12" s="6">
        <v>0</v>
      </c>
      <c r="H12" s="6">
        <v>0</v>
      </c>
      <c r="I12" s="6">
        <v>345</v>
      </c>
      <c r="J12" s="7">
        <v>0.03606146127312637</v>
      </c>
    </row>
    <row r="13" spans="1:10" ht="15">
      <c r="A13" s="32"/>
      <c r="B13" s="4" t="s">
        <v>17</v>
      </c>
      <c r="C13" s="6"/>
      <c r="D13" s="10">
        <v>6468</v>
      </c>
      <c r="E13" s="10">
        <v>6584</v>
      </c>
      <c r="F13" s="7">
        <v>1160</v>
      </c>
      <c r="G13" s="6">
        <v>0</v>
      </c>
      <c r="H13" s="6">
        <v>0</v>
      </c>
      <c r="I13" s="6">
        <v>1160</v>
      </c>
      <c r="J13" s="7">
        <v>0.12125013065746838</v>
      </c>
    </row>
    <row r="14" spans="1:10" ht="15">
      <c r="A14" s="32"/>
      <c r="B14" s="4" t="s">
        <v>18</v>
      </c>
      <c r="C14" s="6"/>
      <c r="D14" s="10">
        <v>8803</v>
      </c>
      <c r="E14" s="10">
        <v>8958</v>
      </c>
      <c r="F14" s="7">
        <v>1550</v>
      </c>
      <c r="G14" s="6">
        <v>0</v>
      </c>
      <c r="H14" s="6">
        <v>0</v>
      </c>
      <c r="I14" s="6">
        <v>1550</v>
      </c>
      <c r="J14" s="7">
        <v>0.16201526079230688</v>
      </c>
    </row>
    <row r="15" spans="1:12" ht="15">
      <c r="A15" s="33"/>
      <c r="B15" s="21" t="s">
        <v>14</v>
      </c>
      <c r="C15" s="21"/>
      <c r="D15" s="8"/>
      <c r="E15" s="21"/>
      <c r="F15" s="22">
        <v>3625</v>
      </c>
      <c r="G15" s="22">
        <v>0</v>
      </c>
      <c r="H15" s="22">
        <v>0</v>
      </c>
      <c r="I15" s="22">
        <v>3625</v>
      </c>
      <c r="J15" s="7">
        <v>0.3789066583045887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v>1730</v>
      </c>
      <c r="G16" s="23">
        <v>0</v>
      </c>
      <c r="H16" s="23">
        <v>0</v>
      </c>
      <c r="I16" s="23">
        <v>1730</v>
      </c>
      <c r="J16" s="7">
        <v>0.18082993623915544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v>1895</v>
      </c>
      <c r="G17" s="11">
        <v>0</v>
      </c>
      <c r="H17" s="11">
        <v>0</v>
      </c>
      <c r="I17" s="11">
        <v>1895</v>
      </c>
      <c r="J17" s="7">
        <v>0.19807672206543325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H5:H6"/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37"/>
  <sheetViews>
    <sheetView tabSelected="1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7" sqref="B7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48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84.73+0.13+0.04</f>
        <v>84.9</v>
      </c>
      <c r="G7" s="20">
        <f>G8*0.0478</f>
        <v>44.421496000000005</v>
      </c>
      <c r="H7" s="20">
        <f>0.13+0.04</f>
        <v>0.17</v>
      </c>
      <c r="I7" s="6">
        <f>I8*0.0478</f>
        <v>1.8099374400000001</v>
      </c>
      <c r="J7" s="7">
        <f>I7/9567</f>
        <v>0.00018918547507055505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f>1168.02+2+0.48</f>
        <v>1170.5</v>
      </c>
      <c r="G8" s="34">
        <f>497.24+416.93+15.15</f>
        <v>929.32</v>
      </c>
      <c r="H8" s="6">
        <f>2+0.48+18</f>
        <v>20.48</v>
      </c>
      <c r="I8" s="6">
        <f>37.8648</f>
        <v>37.8648</v>
      </c>
      <c r="J8" s="7">
        <f aca="true" t="shared" si="0" ref="J8:J17">I8/9567</f>
        <v>0.003957855126999059</v>
      </c>
      <c r="L8" s="9"/>
    </row>
    <row r="9" spans="1:12" ht="15">
      <c r="A9" s="3">
        <v>3</v>
      </c>
      <c r="B9" s="4" t="s">
        <v>31</v>
      </c>
      <c r="C9" s="6" t="s">
        <v>49</v>
      </c>
      <c r="D9" s="5"/>
      <c r="E9" s="5"/>
      <c r="F9" s="6">
        <f>24032-22696</f>
        <v>1336</v>
      </c>
      <c r="G9" s="34">
        <f>586.85+524.45+24.89</f>
        <v>1136.1900000000003</v>
      </c>
      <c r="H9" s="6">
        <f>9+38.8+17</f>
        <v>64.8</v>
      </c>
      <c r="I9" s="6">
        <f>37.8648</f>
        <v>37.8648</v>
      </c>
      <c r="J9" s="7">
        <f t="shared" si="0"/>
        <v>0.003957855126999059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2506.5</v>
      </c>
      <c r="G10" s="34">
        <f>1063.2+938.59+28.71+26.15+8.86</f>
        <v>2065.51</v>
      </c>
      <c r="H10" s="6">
        <f>H8+H9-38.8+70.88</f>
        <v>117.36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3275</v>
      </c>
      <c r="E11" s="10">
        <v>3298</v>
      </c>
      <c r="F11" s="7">
        <f>(E11-D11)*15</f>
        <v>345</v>
      </c>
      <c r="G11" s="34">
        <v>0</v>
      </c>
      <c r="H11" s="6">
        <v>0</v>
      </c>
      <c r="I11" s="6">
        <f>F11-G11-H11</f>
        <v>345</v>
      </c>
      <c r="J11" s="7">
        <f t="shared" si="0"/>
        <v>0.03606146127312637</v>
      </c>
    </row>
    <row r="12" spans="1:10" ht="15">
      <c r="A12" s="32"/>
      <c r="B12" s="4" t="s">
        <v>16</v>
      </c>
      <c r="C12" s="6"/>
      <c r="D12" s="10">
        <v>2475</v>
      </c>
      <c r="E12" s="10">
        <v>2487</v>
      </c>
      <c r="F12" s="7">
        <f>(E12-D12)*15</f>
        <v>180</v>
      </c>
      <c r="G12" s="6">
        <v>0</v>
      </c>
      <c r="H12" s="6">
        <v>0</v>
      </c>
      <c r="I12" s="6">
        <f>F12-G12-H12</f>
        <v>180</v>
      </c>
      <c r="J12" s="7">
        <f t="shared" si="0"/>
        <v>0.01881467544684854</v>
      </c>
    </row>
    <row r="13" spans="1:10" ht="15">
      <c r="A13" s="32"/>
      <c r="B13" s="4" t="s">
        <v>17</v>
      </c>
      <c r="C13" s="6"/>
      <c r="D13" s="10">
        <v>6584</v>
      </c>
      <c r="E13" s="10">
        <v>6648</v>
      </c>
      <c r="F13" s="7">
        <f>(E13-D13)*10</f>
        <v>640</v>
      </c>
      <c r="G13" s="6">
        <v>0</v>
      </c>
      <c r="H13" s="6">
        <v>0</v>
      </c>
      <c r="I13" s="6">
        <f>F13-G13-H13</f>
        <v>640</v>
      </c>
      <c r="J13" s="7">
        <f t="shared" si="0"/>
        <v>0.06689662381101703</v>
      </c>
    </row>
    <row r="14" spans="1:10" ht="15">
      <c r="A14" s="32"/>
      <c r="B14" s="4" t="s">
        <v>18</v>
      </c>
      <c r="C14" s="6"/>
      <c r="D14" s="10">
        <v>8958</v>
      </c>
      <c r="E14" s="10">
        <v>9034</v>
      </c>
      <c r="F14" s="7">
        <f>(E14-D14)*10</f>
        <v>760</v>
      </c>
      <c r="G14" s="6">
        <v>0</v>
      </c>
      <c r="H14" s="6">
        <v>0</v>
      </c>
      <c r="I14" s="6">
        <f>F14-G14-H14</f>
        <v>760</v>
      </c>
      <c r="J14" s="7">
        <f t="shared" si="0"/>
        <v>0.07943974077558273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1925</v>
      </c>
      <c r="G15" s="22">
        <f>SUM(G11:G14)</f>
        <v>0</v>
      </c>
      <c r="H15" s="22">
        <f>SUM(H11:H14)</f>
        <v>0</v>
      </c>
      <c r="I15" s="22">
        <f>SUM(I11:I14)</f>
        <v>1925</v>
      </c>
      <c r="J15" s="7">
        <f t="shared" si="0"/>
        <v>0.20121250130657467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985</v>
      </c>
      <c r="G16" s="23">
        <f t="shared" si="1"/>
        <v>0</v>
      </c>
      <c r="H16" s="23">
        <f t="shared" si="1"/>
        <v>0</v>
      </c>
      <c r="I16" s="23">
        <f t="shared" si="1"/>
        <v>985</v>
      </c>
      <c r="J16" s="7">
        <f t="shared" si="0"/>
        <v>0.1029580850841434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940</v>
      </c>
      <c r="G17" s="11">
        <f t="shared" si="1"/>
        <v>0</v>
      </c>
      <c r="H17" s="11">
        <f t="shared" si="1"/>
        <v>0</v>
      </c>
      <c r="I17" s="11">
        <f t="shared" si="1"/>
        <v>940</v>
      </c>
      <c r="J17" s="7">
        <f t="shared" si="0"/>
        <v>0.09825441622243128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4:J4"/>
    <mergeCell ref="A5:A6"/>
    <mergeCell ref="B5:B6"/>
    <mergeCell ref="C5:C6"/>
    <mergeCell ref="D5:E5"/>
    <mergeCell ref="F5:F6"/>
    <mergeCell ref="G5:G6"/>
    <mergeCell ref="H5:H6"/>
    <mergeCell ref="I5:I6"/>
    <mergeCell ref="J5:J6"/>
    <mergeCell ref="A11:A15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H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J17" sqref="J17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25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77.14+0.19+0.5+0.5</f>
        <v>78.33</v>
      </c>
      <c r="G7" s="20">
        <f>G8*0.0478</f>
        <v>47.482608</v>
      </c>
      <c r="H7" s="20">
        <f>0.19+0.5+0.5</f>
        <v>1.19</v>
      </c>
      <c r="I7" s="6">
        <f>I8*0.0478</f>
        <v>1.8099374400000001</v>
      </c>
      <c r="J7" s="7">
        <f>I7/9568.2</f>
        <v>0.00018916174829121464</v>
      </c>
      <c r="L7" s="9"/>
    </row>
    <row r="8" spans="1:12" ht="15">
      <c r="A8" s="3">
        <v>2</v>
      </c>
      <c r="B8" s="4" t="s">
        <v>9</v>
      </c>
      <c r="C8" s="7"/>
      <c r="D8" s="5"/>
      <c r="E8" s="5"/>
      <c r="F8" s="7">
        <f>1060.34+3+6.68+6.68</f>
        <v>1076.7</v>
      </c>
      <c r="G8" s="6">
        <f>613.53+334.83+45</f>
        <v>993.3599999999999</v>
      </c>
      <c r="H8" s="6">
        <f>3+6.68+6.68</f>
        <v>16.36</v>
      </c>
      <c r="I8" s="6">
        <v>37.8648</v>
      </c>
      <c r="J8" s="7">
        <f aca="true" t="shared" si="0" ref="J8:J17">I8/9568.2</f>
        <v>0.003957358750862231</v>
      </c>
      <c r="L8" s="9"/>
    </row>
    <row r="9" spans="1:12" ht="15">
      <c r="A9" s="3">
        <v>3</v>
      </c>
      <c r="B9" s="4" t="s">
        <v>21</v>
      </c>
      <c r="C9" s="6" t="s">
        <v>26</v>
      </c>
      <c r="D9" s="5"/>
      <c r="E9" s="5"/>
      <c r="F9" s="6">
        <f>12274-11121</f>
        <v>1153</v>
      </c>
      <c r="G9" s="6">
        <f>712.95+439.47+18.28</f>
        <v>1170.7</v>
      </c>
      <c r="H9" s="6">
        <f>9+32+38.8</f>
        <v>79.8</v>
      </c>
      <c r="I9" s="6">
        <f>F9-G9-H9</f>
        <v>-97.50000000000004</v>
      </c>
      <c r="J9" s="7">
        <f t="shared" si="0"/>
        <v>-0.010190004389540356</v>
      </c>
      <c r="L9" s="9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2229.7</v>
      </c>
      <c r="G10" s="6">
        <f>1293.56+761.72+45.45+52.28+2.19+8.86</f>
        <v>2164.06</v>
      </c>
      <c r="H10" s="6">
        <f>H8+H9-38.8+70.88</f>
        <v>128.24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2928</v>
      </c>
      <c r="E11" s="10">
        <v>2967</v>
      </c>
      <c r="F11" s="7">
        <f>(E11-D11)*15</f>
        <v>585</v>
      </c>
      <c r="G11" s="6">
        <v>0</v>
      </c>
      <c r="H11" s="6">
        <v>0</v>
      </c>
      <c r="I11" s="6">
        <f>F11-G11-H11</f>
        <v>585</v>
      </c>
      <c r="J11" s="7">
        <f t="shared" si="0"/>
        <v>0.06114002633724211</v>
      </c>
    </row>
    <row r="12" spans="1:10" ht="15">
      <c r="A12" s="32"/>
      <c r="B12" s="4" t="s">
        <v>16</v>
      </c>
      <c r="C12" s="6"/>
      <c r="D12" s="10">
        <v>2273</v>
      </c>
      <c r="E12" s="10">
        <v>2299</v>
      </c>
      <c r="F12" s="7">
        <f>(E12-D12)*15</f>
        <v>390</v>
      </c>
      <c r="G12" s="6">
        <v>0</v>
      </c>
      <c r="H12" s="6">
        <v>0</v>
      </c>
      <c r="I12" s="6">
        <f>F12-G12-H12</f>
        <v>390</v>
      </c>
      <c r="J12" s="7">
        <f t="shared" si="0"/>
        <v>0.04076001755816141</v>
      </c>
    </row>
    <row r="13" spans="1:10" ht="15">
      <c r="A13" s="32"/>
      <c r="B13" s="4" t="s">
        <v>17</v>
      </c>
      <c r="C13" s="6"/>
      <c r="D13" s="10">
        <v>5705</v>
      </c>
      <c r="E13" s="10">
        <v>5839</v>
      </c>
      <c r="F13" s="7">
        <f>(E13-D13)*10</f>
        <v>1340</v>
      </c>
      <c r="G13" s="6">
        <v>0</v>
      </c>
      <c r="H13" s="6">
        <v>0</v>
      </c>
      <c r="I13" s="6">
        <f>F13-G13-H13</f>
        <v>1340</v>
      </c>
      <c r="J13" s="7">
        <f t="shared" si="0"/>
        <v>0.14004723981522124</v>
      </c>
    </row>
    <row r="14" spans="1:10" ht="15">
      <c r="A14" s="32"/>
      <c r="B14" s="4" t="s">
        <v>18</v>
      </c>
      <c r="C14" s="6"/>
      <c r="D14" s="10">
        <v>7753</v>
      </c>
      <c r="E14" s="10">
        <v>7901</v>
      </c>
      <c r="F14" s="7">
        <f>(E14-D14)*10</f>
        <v>1480</v>
      </c>
      <c r="G14" s="6">
        <v>0</v>
      </c>
      <c r="H14" s="6">
        <v>0</v>
      </c>
      <c r="I14" s="6">
        <f>F14-G14-H14</f>
        <v>1480</v>
      </c>
      <c r="J14" s="7">
        <f t="shared" si="0"/>
        <v>0.15467904098994584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3795</v>
      </c>
      <c r="G15" s="22">
        <f>SUM(G11:G14)</f>
        <v>0</v>
      </c>
      <c r="H15" s="22">
        <f>SUM(H11:H14)</f>
        <v>0</v>
      </c>
      <c r="I15" s="22">
        <f>SUM(I11:I14)</f>
        <v>3795</v>
      </c>
      <c r="J15" s="7">
        <f t="shared" si="0"/>
        <v>0.39662632470057063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1925</v>
      </c>
      <c r="G16" s="23">
        <f t="shared" si="1"/>
        <v>0</v>
      </c>
      <c r="H16" s="23">
        <f t="shared" si="1"/>
        <v>0</v>
      </c>
      <c r="I16" s="23">
        <f t="shared" si="1"/>
        <v>1925</v>
      </c>
      <c r="J16" s="7">
        <f t="shared" si="0"/>
        <v>0.20118726615246335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1870</v>
      </c>
      <c r="G17" s="11">
        <f t="shared" si="1"/>
        <v>0</v>
      </c>
      <c r="H17" s="11">
        <f t="shared" si="1"/>
        <v>0</v>
      </c>
      <c r="I17" s="11">
        <f t="shared" si="1"/>
        <v>1870</v>
      </c>
      <c r="J17" s="7">
        <f t="shared" si="0"/>
        <v>0.19543905854810725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7" sqref="C7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27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78.19+0.06+0.51+0.51</f>
        <v>79.27000000000001</v>
      </c>
      <c r="G7" s="20">
        <f>G8*0.0478</f>
        <v>46.842088</v>
      </c>
      <c r="H7" s="20">
        <f>0.06+0.51+0.51</f>
        <v>1.08</v>
      </c>
      <c r="I7" s="6">
        <f>I8*0.0478</f>
        <v>1.8099374400000001</v>
      </c>
      <c r="J7" s="7">
        <f>I7/9568.2</f>
        <v>0.00018916174829121464</v>
      </c>
      <c r="L7" s="9"/>
    </row>
    <row r="8" spans="1:12" ht="15">
      <c r="A8" s="3">
        <v>2</v>
      </c>
      <c r="B8" s="4" t="s">
        <v>9</v>
      </c>
      <c r="C8" s="7"/>
      <c r="D8" s="5"/>
      <c r="E8" s="5"/>
      <c r="F8" s="7">
        <f>1089.88+1+6.86+6.86</f>
        <v>1104.6</v>
      </c>
      <c r="G8" s="6">
        <f>613.53+348.77+17.66</f>
        <v>979.9599999999999</v>
      </c>
      <c r="H8" s="6">
        <f>1+6.86+6.86+13</f>
        <v>27.72</v>
      </c>
      <c r="I8" s="6">
        <f>37.8648</f>
        <v>37.8648</v>
      </c>
      <c r="J8" s="7">
        <f aca="true" t="shared" si="0" ref="J8:J17">I8/9568.2</f>
        <v>0.003957358750862231</v>
      </c>
      <c r="L8" s="9"/>
    </row>
    <row r="9" spans="1:12" ht="15">
      <c r="A9" s="3">
        <v>3</v>
      </c>
      <c r="B9" s="4" t="s">
        <v>21</v>
      </c>
      <c r="C9" s="6" t="s">
        <v>28</v>
      </c>
      <c r="D9" s="5"/>
      <c r="E9" s="5"/>
      <c r="F9" s="6">
        <f>13362-12274</f>
        <v>1088</v>
      </c>
      <c r="G9" s="6">
        <f>712.95+379.93+10.17</f>
        <v>1103.0500000000002</v>
      </c>
      <c r="H9" s="6">
        <f>17+18+38.8</f>
        <v>73.8</v>
      </c>
      <c r="I9" s="6">
        <f>F9-G9-H9</f>
        <v>-88.85000000000018</v>
      </c>
      <c r="J9" s="7">
        <f t="shared" si="0"/>
        <v>-0.009285968102673457</v>
      </c>
      <c r="L9" s="9"/>
    </row>
    <row r="10" spans="1:10" ht="15">
      <c r="A10" s="3">
        <v>4</v>
      </c>
      <c r="B10" s="4" t="s">
        <v>10</v>
      </c>
      <c r="C10" s="6"/>
      <c r="D10" s="5"/>
      <c r="E10" s="5"/>
      <c r="F10" s="6">
        <f>F8+F9</f>
        <v>2192.6</v>
      </c>
      <c r="G10" s="6">
        <f>1293.56+726.24+15.11+39.24+8.86</f>
        <v>2083.0099999999998</v>
      </c>
      <c r="H10" s="6">
        <f>H8+H9-38.8+70.88</f>
        <v>133.6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2967</v>
      </c>
      <c r="E11" s="10">
        <v>2997</v>
      </c>
      <c r="F11" s="7">
        <f>(E11-D11)*15</f>
        <v>450</v>
      </c>
      <c r="G11" s="6">
        <v>0</v>
      </c>
      <c r="H11" s="6">
        <v>0</v>
      </c>
      <c r="I11" s="6">
        <f>F11-G11-H11</f>
        <v>450</v>
      </c>
      <c r="J11" s="7">
        <f t="shared" si="0"/>
        <v>0.047030789490186235</v>
      </c>
    </row>
    <row r="12" spans="1:10" ht="15">
      <c r="A12" s="32"/>
      <c r="B12" s="4" t="s">
        <v>16</v>
      </c>
      <c r="C12" s="6"/>
      <c r="D12" s="10">
        <v>2299</v>
      </c>
      <c r="E12" s="10">
        <v>2319</v>
      </c>
      <c r="F12" s="7">
        <f>(E12-D12)*15</f>
        <v>300</v>
      </c>
      <c r="G12" s="6">
        <v>0</v>
      </c>
      <c r="H12" s="6">
        <v>0</v>
      </c>
      <c r="I12" s="6">
        <f>F12-G12-H12</f>
        <v>300</v>
      </c>
      <c r="J12" s="7">
        <f t="shared" si="0"/>
        <v>0.03135385966012416</v>
      </c>
    </row>
    <row r="13" spans="1:10" ht="15">
      <c r="A13" s="32"/>
      <c r="B13" s="4" t="s">
        <v>17</v>
      </c>
      <c r="C13" s="6"/>
      <c r="D13" s="10">
        <v>5839</v>
      </c>
      <c r="E13" s="10">
        <v>5924</v>
      </c>
      <c r="F13" s="7">
        <f>(E13-D13)*10</f>
        <v>850</v>
      </c>
      <c r="G13" s="6">
        <v>0</v>
      </c>
      <c r="H13" s="6">
        <v>0</v>
      </c>
      <c r="I13" s="6">
        <f>F13-G13-H13</f>
        <v>850</v>
      </c>
      <c r="J13" s="7">
        <f t="shared" si="0"/>
        <v>0.08883593570368511</v>
      </c>
    </row>
    <row r="14" spans="1:10" ht="15">
      <c r="A14" s="32"/>
      <c r="B14" s="4" t="s">
        <v>18</v>
      </c>
      <c r="C14" s="6"/>
      <c r="D14" s="10">
        <v>7901</v>
      </c>
      <c r="E14" s="10">
        <v>8009</v>
      </c>
      <c r="F14" s="7">
        <f>(E14-D14)*10</f>
        <v>1080</v>
      </c>
      <c r="G14" s="6">
        <v>0</v>
      </c>
      <c r="H14" s="6">
        <v>0</v>
      </c>
      <c r="I14" s="6">
        <f>F14-G14-H14</f>
        <v>1080</v>
      </c>
      <c r="J14" s="7">
        <f t="shared" si="0"/>
        <v>0.11287389477644698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2680</v>
      </c>
      <c r="G15" s="22">
        <f>SUM(G11:G14)</f>
        <v>0</v>
      </c>
      <c r="H15" s="22">
        <f>SUM(H11:H14)</f>
        <v>0</v>
      </c>
      <c r="I15" s="22">
        <f>SUM(I11:I14)</f>
        <v>2680</v>
      </c>
      <c r="J15" s="7">
        <f t="shared" si="0"/>
        <v>0.2800944796304425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1300</v>
      </c>
      <c r="G16" s="23">
        <f t="shared" si="1"/>
        <v>0</v>
      </c>
      <c r="H16" s="23">
        <f t="shared" si="1"/>
        <v>0</v>
      </c>
      <c r="I16" s="23">
        <f t="shared" si="1"/>
        <v>1300</v>
      </c>
      <c r="J16" s="7">
        <f t="shared" si="0"/>
        <v>0.13586672519387136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1380</v>
      </c>
      <c r="G17" s="11">
        <f t="shared" si="1"/>
        <v>0</v>
      </c>
      <c r="H17" s="11">
        <f t="shared" si="1"/>
        <v>0</v>
      </c>
      <c r="I17" s="11">
        <f t="shared" si="1"/>
        <v>1380</v>
      </c>
      <c r="J17" s="7">
        <f t="shared" si="0"/>
        <v>0.14422775443657113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D8" sqref="D8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29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75.76+0.13+0.03</f>
        <v>75.92</v>
      </c>
      <c r="G7" s="20">
        <f>G8*0.0478</f>
        <v>49.95234318</v>
      </c>
      <c r="H7" s="20">
        <f>0.13+0.03</f>
        <v>0.16</v>
      </c>
      <c r="I7" s="6">
        <f>37.8648*0.0478</f>
        <v>1.8099374400000001</v>
      </c>
      <c r="J7" s="7">
        <f aca="true" t="shared" si="0" ref="J7:J17">I7/9568.2</f>
        <v>0.00018916174829121464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f>1070.26+2+0.44</f>
        <v>1072.7</v>
      </c>
      <c r="G8" s="6">
        <f>617.9281+389.04+38.06</f>
        <v>1045.0281</v>
      </c>
      <c r="H8" s="6">
        <f>2+0.44+13</f>
        <v>15.44</v>
      </c>
      <c r="I8" s="6">
        <f>F8-G8-H8</f>
        <v>12.231900000000051</v>
      </c>
      <c r="J8" s="7">
        <f t="shared" si="0"/>
        <v>0.0012783909199222477</v>
      </c>
      <c r="L8" s="9"/>
    </row>
    <row r="9" spans="1:12" ht="15">
      <c r="A9" s="3">
        <v>3</v>
      </c>
      <c r="B9" s="4" t="s">
        <v>31</v>
      </c>
      <c r="C9" s="6" t="s">
        <v>32</v>
      </c>
      <c r="D9" s="5"/>
      <c r="E9" s="5"/>
      <c r="F9" s="6">
        <f>14591-13362</f>
        <v>1229</v>
      </c>
      <c r="G9" s="6">
        <f>718.2694+482.61+90.73</f>
        <v>1291.6094</v>
      </c>
      <c r="H9" s="6">
        <f>6+51.8</f>
        <v>57.8</v>
      </c>
      <c r="I9" s="6">
        <f>F9-G9-H9</f>
        <v>-120.40940000000005</v>
      </c>
      <c r="J9" s="7">
        <f t="shared" si="0"/>
        <v>-0.012584331431199185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2301.7</v>
      </c>
      <c r="G10" s="6">
        <f>1303.2774+894.11+91.9+38.49+8.86</f>
        <v>2336.6374</v>
      </c>
      <c r="H10" s="6">
        <f>H8+H9-38.8+70.88</f>
        <v>105.32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2997</v>
      </c>
      <c r="E11" s="10">
        <v>3030</v>
      </c>
      <c r="F11" s="7">
        <f>(E11-D11)*15</f>
        <v>495</v>
      </c>
      <c r="G11" s="6">
        <v>0</v>
      </c>
      <c r="H11" s="6">
        <v>0</v>
      </c>
      <c r="I11" s="6">
        <f>F11-G11-H11</f>
        <v>495</v>
      </c>
      <c r="J11" s="7">
        <f t="shared" si="0"/>
        <v>0.05173386843920486</v>
      </c>
    </row>
    <row r="12" spans="1:10" ht="15">
      <c r="A12" s="32"/>
      <c r="B12" s="4" t="s">
        <v>16</v>
      </c>
      <c r="C12" s="6"/>
      <c r="D12" s="10">
        <v>2319</v>
      </c>
      <c r="E12" s="10">
        <v>2340</v>
      </c>
      <c r="F12" s="7">
        <f>(E12-D12)*15</f>
        <v>315</v>
      </c>
      <c r="G12" s="6">
        <v>0</v>
      </c>
      <c r="H12" s="6">
        <v>0</v>
      </c>
      <c r="I12" s="6">
        <f>F12-G12-H12</f>
        <v>315</v>
      </c>
      <c r="J12" s="7">
        <f t="shared" si="0"/>
        <v>0.03292155264313037</v>
      </c>
    </row>
    <row r="13" spans="1:10" ht="15">
      <c r="A13" s="32"/>
      <c r="B13" s="4" t="s">
        <v>17</v>
      </c>
      <c r="C13" s="6"/>
      <c r="D13" s="10">
        <v>5924</v>
      </c>
      <c r="E13" s="10">
        <v>6010</v>
      </c>
      <c r="F13" s="7">
        <f>(E13-D13)*10</f>
        <v>860</v>
      </c>
      <c r="G13" s="6">
        <v>0</v>
      </c>
      <c r="H13" s="6">
        <v>0</v>
      </c>
      <c r="I13" s="6">
        <f>F13-G13-H13</f>
        <v>860</v>
      </c>
      <c r="J13" s="7">
        <f t="shared" si="0"/>
        <v>0.08988106435902259</v>
      </c>
    </row>
    <row r="14" spans="1:10" ht="15">
      <c r="A14" s="32"/>
      <c r="B14" s="4" t="s">
        <v>18</v>
      </c>
      <c r="C14" s="6"/>
      <c r="D14" s="10">
        <v>8009</v>
      </c>
      <c r="E14" s="10">
        <v>8120</v>
      </c>
      <c r="F14" s="7">
        <f>(E14-D14)*10</f>
        <v>1110</v>
      </c>
      <c r="G14" s="6">
        <v>0</v>
      </c>
      <c r="H14" s="6">
        <v>0</v>
      </c>
      <c r="I14" s="6">
        <f>F14-G14-H14</f>
        <v>1110</v>
      </c>
      <c r="J14" s="7">
        <f t="shared" si="0"/>
        <v>0.11600928074245939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2780</v>
      </c>
      <c r="G15" s="22">
        <f>SUM(G11:G14)</f>
        <v>0</v>
      </c>
      <c r="H15" s="22">
        <f>SUM(H11:H14)</f>
        <v>0</v>
      </c>
      <c r="I15" s="22">
        <f>SUM(I11:I14)</f>
        <v>2780</v>
      </c>
      <c r="J15" s="7">
        <f t="shared" si="0"/>
        <v>0.2905457661838172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1355</v>
      </c>
      <c r="G16" s="23">
        <f t="shared" si="1"/>
        <v>0</v>
      </c>
      <c r="H16" s="23">
        <f t="shared" si="1"/>
        <v>0</v>
      </c>
      <c r="I16" s="23">
        <f t="shared" si="1"/>
        <v>1355</v>
      </c>
      <c r="J16" s="7">
        <f t="shared" si="0"/>
        <v>0.14161493279822746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1425</v>
      </c>
      <c r="G17" s="11">
        <f t="shared" si="1"/>
        <v>0</v>
      </c>
      <c r="H17" s="11">
        <f t="shared" si="1"/>
        <v>0</v>
      </c>
      <c r="I17" s="11">
        <f t="shared" si="1"/>
        <v>1425</v>
      </c>
      <c r="J17" s="7">
        <f t="shared" si="0"/>
        <v>0.14893083338558977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5" sqref="C5:C6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34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59.76+0.16+0.03</f>
        <v>59.949999999999996</v>
      </c>
      <c r="G7" s="20">
        <f>G8*0.0478</f>
        <v>47.471614</v>
      </c>
      <c r="H7" s="20">
        <f>0.16+0.03</f>
        <v>0.19</v>
      </c>
      <c r="I7" s="6">
        <f>37.8648*0.0478</f>
        <v>1.8099374400000001</v>
      </c>
      <c r="J7" s="7">
        <f aca="true" t="shared" si="0" ref="J7:J17">I7/9568.2</f>
        <v>0.00018916174829121464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f>1051.57+3+0.43</f>
        <v>1055</v>
      </c>
      <c r="G8" s="6">
        <f>605.51+347.14+40.48</f>
        <v>993.13</v>
      </c>
      <c r="H8" s="6">
        <f>3+0.43+23</f>
        <v>26.43</v>
      </c>
      <c r="I8" s="6">
        <f>F8-G8-H8</f>
        <v>35.440000000000005</v>
      </c>
      <c r="J8" s="7">
        <f t="shared" si="0"/>
        <v>0.003703935954516001</v>
      </c>
      <c r="L8" s="9"/>
    </row>
    <row r="9" spans="1:12" ht="15">
      <c r="A9" s="3">
        <v>3</v>
      </c>
      <c r="B9" s="4" t="s">
        <v>31</v>
      </c>
      <c r="C9" s="6" t="s">
        <v>35</v>
      </c>
      <c r="D9" s="5"/>
      <c r="E9" s="5"/>
      <c r="F9" s="6">
        <f>15826-14591</f>
        <v>1235</v>
      </c>
      <c r="G9" s="6">
        <f>703.25+423.11+15.78</f>
        <v>1142.14</v>
      </c>
      <c r="H9" s="6">
        <f>33+18+38.8</f>
        <v>89.8</v>
      </c>
      <c r="I9" s="6">
        <f>F9-G9-H9</f>
        <v>3.059999999999903</v>
      </c>
      <c r="J9" s="7">
        <f t="shared" si="0"/>
        <v>0.00031980936853325627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2290</v>
      </c>
      <c r="G10" s="6">
        <f>1275.84+768.24+43.91+38.42+8.86</f>
        <v>2135.27</v>
      </c>
      <c r="H10" s="6">
        <f>H8+H9-38.8+70.88</f>
        <v>148.31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3030</v>
      </c>
      <c r="E11" s="10">
        <v>3069</v>
      </c>
      <c r="F11" s="7">
        <f>(E11-D11)*15</f>
        <v>585</v>
      </c>
      <c r="G11" s="6">
        <v>0</v>
      </c>
      <c r="H11" s="6">
        <v>0</v>
      </c>
      <c r="I11" s="6">
        <f>F11-G11-H11</f>
        <v>585</v>
      </c>
      <c r="J11" s="7">
        <f t="shared" si="0"/>
        <v>0.06114002633724211</v>
      </c>
    </row>
    <row r="12" spans="1:10" ht="15">
      <c r="A12" s="32"/>
      <c r="B12" s="4" t="s">
        <v>16</v>
      </c>
      <c r="C12" s="6"/>
      <c r="D12" s="10">
        <v>2340</v>
      </c>
      <c r="E12" s="10">
        <v>2361</v>
      </c>
      <c r="F12" s="7">
        <f>(E12-D12)*15</f>
        <v>315</v>
      </c>
      <c r="G12" s="6">
        <v>0</v>
      </c>
      <c r="H12" s="6">
        <v>0</v>
      </c>
      <c r="I12" s="6">
        <f>F12-G12-H12</f>
        <v>315</v>
      </c>
      <c r="J12" s="7">
        <f t="shared" si="0"/>
        <v>0.03292155264313037</v>
      </c>
    </row>
    <row r="13" spans="1:10" ht="15">
      <c r="A13" s="32"/>
      <c r="B13" s="4" t="s">
        <v>17</v>
      </c>
      <c r="C13" s="6"/>
      <c r="D13" s="10">
        <v>6010</v>
      </c>
      <c r="E13" s="10">
        <v>6121</v>
      </c>
      <c r="F13" s="7">
        <f>(E13-D13)*10</f>
        <v>1110</v>
      </c>
      <c r="G13" s="6">
        <v>0</v>
      </c>
      <c r="H13" s="6">
        <v>0</v>
      </c>
      <c r="I13" s="6">
        <f>F13-G13-H13</f>
        <v>1110</v>
      </c>
      <c r="J13" s="7">
        <f t="shared" si="0"/>
        <v>0.11600928074245939</v>
      </c>
    </row>
    <row r="14" spans="1:10" ht="15">
      <c r="A14" s="32"/>
      <c r="B14" s="4" t="s">
        <v>18</v>
      </c>
      <c r="C14" s="6"/>
      <c r="D14" s="10">
        <v>8120</v>
      </c>
      <c r="E14" s="10">
        <v>8295</v>
      </c>
      <c r="F14" s="7">
        <f>(E14-D14)*10</f>
        <v>1750</v>
      </c>
      <c r="G14" s="6">
        <v>0</v>
      </c>
      <c r="H14" s="6">
        <v>0</v>
      </c>
      <c r="I14" s="6">
        <f>F14-G14-H14</f>
        <v>1750</v>
      </c>
      <c r="J14" s="7">
        <f t="shared" si="0"/>
        <v>0.1828975146840576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3760</v>
      </c>
      <c r="G15" s="22">
        <f>SUM(G11:G14)</f>
        <v>0</v>
      </c>
      <c r="H15" s="22">
        <f>SUM(H11:H14)</f>
        <v>0</v>
      </c>
      <c r="I15" s="22">
        <f>SUM(I11:I14)</f>
        <v>3760</v>
      </c>
      <c r="J15" s="7">
        <f t="shared" si="0"/>
        <v>0.3929683744068895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1695</v>
      </c>
      <c r="G16" s="23">
        <f t="shared" si="1"/>
        <v>0</v>
      </c>
      <c r="H16" s="23">
        <f t="shared" si="1"/>
        <v>0</v>
      </c>
      <c r="I16" s="23">
        <f t="shared" si="1"/>
        <v>1695</v>
      </c>
      <c r="J16" s="7">
        <f t="shared" si="0"/>
        <v>0.1771493070797015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2065</v>
      </c>
      <c r="G17" s="11">
        <f t="shared" si="1"/>
        <v>0</v>
      </c>
      <c r="H17" s="11">
        <f t="shared" si="1"/>
        <v>0</v>
      </c>
      <c r="I17" s="11">
        <f t="shared" si="1"/>
        <v>2065</v>
      </c>
      <c r="J17" s="7">
        <f t="shared" si="0"/>
        <v>0.21581906732718795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5" sqref="B5:B6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36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42.95+0.1+0.02</f>
        <v>43.07000000000001</v>
      </c>
      <c r="G7" s="20">
        <f>G8*0.0478</f>
        <v>45.868401999999996</v>
      </c>
      <c r="H7" s="20">
        <f>0.1+0.02</f>
        <v>0.12000000000000001</v>
      </c>
      <c r="I7" s="6">
        <f>F7-G7-H7</f>
        <v>-2.918401999999989</v>
      </c>
      <c r="J7" s="7">
        <f aca="true" t="shared" si="0" ref="J7:J17">I7/9568.2</f>
        <v>-0.0003050105557994177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f>1081.68+2+0.52</f>
        <v>1084.2</v>
      </c>
      <c r="G8" s="6">
        <f>601.5+334.09+24</f>
        <v>959.5899999999999</v>
      </c>
      <c r="H8" s="6">
        <f>2+0.52+15</f>
        <v>17.52</v>
      </c>
      <c r="I8" s="6">
        <v>37.8648</v>
      </c>
      <c r="J8" s="7">
        <f t="shared" si="0"/>
        <v>0.003957358750862231</v>
      </c>
      <c r="L8" s="9"/>
    </row>
    <row r="9" spans="1:12" ht="15">
      <c r="A9" s="3">
        <v>3</v>
      </c>
      <c r="B9" s="4" t="s">
        <v>31</v>
      </c>
      <c r="C9" s="6" t="s">
        <v>37</v>
      </c>
      <c r="D9" s="5"/>
      <c r="E9" s="5"/>
      <c r="F9" s="6">
        <f>16920-15826</f>
        <v>1094</v>
      </c>
      <c r="G9" s="6">
        <f>698.4+326.51+30.25</f>
        <v>1055.1599999999999</v>
      </c>
      <c r="H9" s="6">
        <f>8+7+38.8</f>
        <v>53.8</v>
      </c>
      <c r="I9" s="6">
        <f>F9-G9-H9</f>
        <v>-14.959999999999852</v>
      </c>
      <c r="J9" s="7">
        <f t="shared" si="0"/>
        <v>-0.0015635124683848426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2178.2</v>
      </c>
      <c r="G10" s="6">
        <f>1266.98+656.37+43.17+39.37+8.86</f>
        <v>2014.7499999999998</v>
      </c>
      <c r="H10" s="6">
        <f>H8+H9-38.8+70.88</f>
        <v>103.39999999999999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3069</v>
      </c>
      <c r="E11" s="10">
        <v>3100</v>
      </c>
      <c r="F11" s="7">
        <f>(E11-D11)*15</f>
        <v>465</v>
      </c>
      <c r="G11" s="6">
        <v>0</v>
      </c>
      <c r="H11" s="6">
        <v>0</v>
      </c>
      <c r="I11" s="6">
        <f>F11-G11-H11</f>
        <v>465</v>
      </c>
      <c r="J11" s="7">
        <f t="shared" si="0"/>
        <v>0.04859848247319245</v>
      </c>
    </row>
    <row r="12" spans="1:10" ht="15">
      <c r="A12" s="32"/>
      <c r="B12" s="4" t="s">
        <v>16</v>
      </c>
      <c r="C12" s="6"/>
      <c r="D12" s="10">
        <v>2361</v>
      </c>
      <c r="E12" s="10">
        <v>2379</v>
      </c>
      <c r="F12" s="7">
        <f>(E12-D12)*15</f>
        <v>270</v>
      </c>
      <c r="G12" s="6">
        <v>0</v>
      </c>
      <c r="H12" s="6">
        <v>0</v>
      </c>
      <c r="I12" s="6">
        <f>F12-G12-H12</f>
        <v>270</v>
      </c>
      <c r="J12" s="7">
        <f t="shared" si="0"/>
        <v>0.028218473694111745</v>
      </c>
    </row>
    <row r="13" spans="1:10" ht="15">
      <c r="A13" s="32"/>
      <c r="B13" s="4" t="s">
        <v>17</v>
      </c>
      <c r="C13" s="6"/>
      <c r="D13" s="10">
        <v>6121</v>
      </c>
      <c r="E13" s="10">
        <v>6237</v>
      </c>
      <c r="F13" s="7">
        <f>(E13-D13)*10</f>
        <v>1160</v>
      </c>
      <c r="G13" s="6">
        <v>0</v>
      </c>
      <c r="H13" s="6">
        <v>0</v>
      </c>
      <c r="I13" s="6">
        <f>F13-G13-H13</f>
        <v>1160</v>
      </c>
      <c r="J13" s="7">
        <f t="shared" si="0"/>
        <v>0.12123492401914675</v>
      </c>
    </row>
    <row r="14" spans="1:10" ht="15">
      <c r="A14" s="32"/>
      <c r="B14" s="4" t="s">
        <v>18</v>
      </c>
      <c r="C14" s="6"/>
      <c r="D14" s="10">
        <v>8295</v>
      </c>
      <c r="E14" s="10">
        <v>8470</v>
      </c>
      <c r="F14" s="7">
        <f>(E14-D14)*10</f>
        <v>1750</v>
      </c>
      <c r="G14" s="6">
        <v>0</v>
      </c>
      <c r="H14" s="6">
        <v>0</v>
      </c>
      <c r="I14" s="6">
        <f>F14-G14-H14</f>
        <v>1750</v>
      </c>
      <c r="J14" s="7">
        <f t="shared" si="0"/>
        <v>0.1828975146840576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3645</v>
      </c>
      <c r="G15" s="22">
        <f>SUM(G11:G14)</f>
        <v>0</v>
      </c>
      <c r="H15" s="22">
        <f>SUM(H11:H14)</f>
        <v>0</v>
      </c>
      <c r="I15" s="22">
        <f>SUM(I11:I14)</f>
        <v>3645</v>
      </c>
      <c r="J15" s="7">
        <f t="shared" si="0"/>
        <v>0.38094939487050855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1625</v>
      </c>
      <c r="G16" s="23">
        <f t="shared" si="1"/>
        <v>0</v>
      </c>
      <c r="H16" s="23">
        <f t="shared" si="1"/>
        <v>0</v>
      </c>
      <c r="I16" s="23">
        <f t="shared" si="1"/>
        <v>1625</v>
      </c>
      <c r="J16" s="7">
        <f t="shared" si="0"/>
        <v>0.1698334064923392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2020</v>
      </c>
      <c r="G17" s="11">
        <f t="shared" si="1"/>
        <v>0</v>
      </c>
      <c r="H17" s="11">
        <f t="shared" si="1"/>
        <v>0</v>
      </c>
      <c r="I17" s="11">
        <f t="shared" si="1"/>
        <v>2020</v>
      </c>
      <c r="J17" s="7">
        <f t="shared" si="0"/>
        <v>0.21111598837816933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7" sqref="C7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38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f>40.54+0.1+0.02</f>
        <v>40.660000000000004</v>
      </c>
      <c r="G7" s="20">
        <f>G8*0.0478</f>
        <v>48.007452</v>
      </c>
      <c r="H7" s="20">
        <f>0.1+0.02</f>
        <v>0.12000000000000001</v>
      </c>
      <c r="I7" s="6">
        <f>F7-G7-H7</f>
        <v>-7.467451999999997</v>
      </c>
      <c r="J7" s="7">
        <f>I7/9568</f>
        <v>-0.0007804611204013375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f>1000.89+2+0.41</f>
        <v>1003.3</v>
      </c>
      <c r="G8" s="6">
        <f>609.52+379.84+14.98</f>
        <v>1004.3399999999999</v>
      </c>
      <c r="H8" s="6">
        <f>2+0.41+21</f>
        <v>23.41</v>
      </c>
      <c r="I8" s="6">
        <f>F8-G8-H8</f>
        <v>-24.449999999999964</v>
      </c>
      <c r="J8" s="7">
        <f aca="true" t="shared" si="0" ref="J8:J17">I8/9568</f>
        <v>-0.002555392976588625</v>
      </c>
      <c r="L8" s="9"/>
    </row>
    <row r="9" spans="1:12" ht="15">
      <c r="A9" s="3">
        <v>3</v>
      </c>
      <c r="B9" s="4" t="s">
        <v>31</v>
      </c>
      <c r="C9" s="6" t="s">
        <v>39</v>
      </c>
      <c r="D9" s="5"/>
      <c r="E9" s="5"/>
      <c r="F9" s="6">
        <f>18090-16920</f>
        <v>1170</v>
      </c>
      <c r="G9" s="6">
        <f>708.1+423.1+54.82</f>
        <v>1186.02</v>
      </c>
      <c r="H9" s="6">
        <f>24+11+38.8</f>
        <v>73.8</v>
      </c>
      <c r="I9" s="6">
        <f>F9-G9-H9</f>
        <v>-89.81999999999998</v>
      </c>
      <c r="J9" s="7">
        <f t="shared" si="0"/>
        <v>-0.009387541806020064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f>F8+F9</f>
        <v>2173.3</v>
      </c>
      <c r="G10" s="6">
        <f>1284.7+795.08+61.09+40.63+8.86</f>
        <v>2190.3600000000006</v>
      </c>
      <c r="H10" s="6">
        <f>H8+H9-38.8+70.88</f>
        <v>129.29</v>
      </c>
      <c r="I10" s="6">
        <v>0</v>
      </c>
      <c r="J10" s="7">
        <f t="shared" si="0"/>
        <v>0</v>
      </c>
    </row>
    <row r="11" spans="1:10" ht="15">
      <c r="A11" s="31">
        <v>5</v>
      </c>
      <c r="B11" s="4" t="s">
        <v>15</v>
      </c>
      <c r="C11" s="6"/>
      <c r="D11" s="10">
        <v>3100</v>
      </c>
      <c r="E11" s="10">
        <v>3132</v>
      </c>
      <c r="F11" s="7">
        <f>(E11-D11)*15</f>
        <v>480</v>
      </c>
      <c r="G11" s="6">
        <v>0</v>
      </c>
      <c r="H11" s="6">
        <v>0</v>
      </c>
      <c r="I11" s="6">
        <f>F11-G11-H11</f>
        <v>480</v>
      </c>
      <c r="J11" s="7">
        <f t="shared" si="0"/>
        <v>0.05016722408026756</v>
      </c>
    </row>
    <row r="12" spans="1:10" ht="15">
      <c r="A12" s="32"/>
      <c r="B12" s="4" t="s">
        <v>16</v>
      </c>
      <c r="C12" s="6"/>
      <c r="D12" s="10">
        <v>2379</v>
      </c>
      <c r="E12" s="10">
        <v>2396</v>
      </c>
      <c r="F12" s="7">
        <f>(E12-D12)*15</f>
        <v>255</v>
      </c>
      <c r="G12" s="6">
        <v>0</v>
      </c>
      <c r="H12" s="6">
        <v>0</v>
      </c>
      <c r="I12" s="6">
        <f>F12-G12-H12</f>
        <v>255</v>
      </c>
      <c r="J12" s="7">
        <f t="shared" si="0"/>
        <v>0.02665133779264214</v>
      </c>
    </row>
    <row r="13" spans="1:10" ht="15">
      <c r="A13" s="32"/>
      <c r="B13" s="4" t="s">
        <v>17</v>
      </c>
      <c r="C13" s="6"/>
      <c r="D13" s="10">
        <v>6237</v>
      </c>
      <c r="E13" s="10">
        <v>6237</v>
      </c>
      <c r="F13" s="7">
        <f>(E13-D13)*10</f>
        <v>0</v>
      </c>
      <c r="G13" s="6">
        <v>0</v>
      </c>
      <c r="H13" s="6">
        <v>0</v>
      </c>
      <c r="I13" s="6">
        <f>F13-G13-H13</f>
        <v>0</v>
      </c>
      <c r="J13" s="7">
        <f t="shared" si="0"/>
        <v>0</v>
      </c>
    </row>
    <row r="14" spans="1:10" ht="15">
      <c r="A14" s="32"/>
      <c r="B14" s="4" t="s">
        <v>18</v>
      </c>
      <c r="C14" s="6"/>
      <c r="D14" s="10">
        <v>8470</v>
      </c>
      <c r="E14" s="10">
        <v>8470</v>
      </c>
      <c r="F14" s="7">
        <f>(E14-D14)*10</f>
        <v>0</v>
      </c>
      <c r="G14" s="6">
        <v>0</v>
      </c>
      <c r="H14" s="6">
        <v>0</v>
      </c>
      <c r="I14" s="6">
        <f>F14-G14-H14</f>
        <v>0</v>
      </c>
      <c r="J14" s="7">
        <f t="shared" si="0"/>
        <v>0</v>
      </c>
    </row>
    <row r="15" spans="1:12" ht="15">
      <c r="A15" s="33"/>
      <c r="B15" s="21" t="s">
        <v>14</v>
      </c>
      <c r="C15" s="21"/>
      <c r="D15" s="8"/>
      <c r="E15" s="21"/>
      <c r="F15" s="22">
        <f>SUM(F11:F14)</f>
        <v>735</v>
      </c>
      <c r="G15" s="22">
        <f>SUM(G11:G14)</f>
        <v>0</v>
      </c>
      <c r="H15" s="22">
        <f>SUM(H11:H14)</f>
        <v>0</v>
      </c>
      <c r="I15" s="22">
        <f>SUM(I11:I14)</f>
        <v>735</v>
      </c>
      <c r="J15" s="7">
        <f t="shared" si="0"/>
        <v>0.0768185618729097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f aca="true" t="shared" si="1" ref="F16:I17">F11+F13</f>
        <v>480</v>
      </c>
      <c r="G16" s="23">
        <f t="shared" si="1"/>
        <v>0</v>
      </c>
      <c r="H16" s="23">
        <f t="shared" si="1"/>
        <v>0</v>
      </c>
      <c r="I16" s="23">
        <f t="shared" si="1"/>
        <v>480</v>
      </c>
      <c r="J16" s="7">
        <f t="shared" si="0"/>
        <v>0.05016722408026756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f t="shared" si="1"/>
        <v>255</v>
      </c>
      <c r="G17" s="11">
        <f t="shared" si="1"/>
        <v>0</v>
      </c>
      <c r="H17" s="11">
        <f t="shared" si="1"/>
        <v>0</v>
      </c>
      <c r="I17" s="11">
        <f t="shared" si="1"/>
        <v>255</v>
      </c>
      <c r="J17" s="7">
        <f t="shared" si="0"/>
        <v>0.02665133779264214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I5:I6"/>
    <mergeCell ref="A11:A15"/>
    <mergeCell ref="J5:J6"/>
    <mergeCell ref="A4:J4"/>
    <mergeCell ref="A5:A6"/>
    <mergeCell ref="B5:B6"/>
    <mergeCell ref="C5:C6"/>
    <mergeCell ref="D5:E5"/>
    <mergeCell ref="F5:F6"/>
    <mergeCell ref="G5:G6"/>
    <mergeCell ref="H5:H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9" sqref="C9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40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v>56.5</v>
      </c>
      <c r="G7" s="20">
        <v>45.949184</v>
      </c>
      <c r="H7" s="20">
        <v>0.21</v>
      </c>
      <c r="I7" s="6">
        <v>1.8099374400000001</v>
      </c>
      <c r="J7" s="7">
        <v>0.00018918547507055505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v>1182.01</v>
      </c>
      <c r="G8" s="6">
        <v>961.28</v>
      </c>
      <c r="H8" s="6">
        <v>21.48</v>
      </c>
      <c r="I8" s="6">
        <v>37.8648</v>
      </c>
      <c r="J8" s="7">
        <v>0.003957855126999059</v>
      </c>
      <c r="L8" s="9"/>
    </row>
    <row r="9" spans="1:12" ht="15">
      <c r="A9" s="3">
        <v>3</v>
      </c>
      <c r="B9" s="4" t="s">
        <v>31</v>
      </c>
      <c r="C9" s="6" t="s">
        <v>41</v>
      </c>
      <c r="D9" s="5"/>
      <c r="E9" s="5"/>
      <c r="F9" s="6">
        <v>1240</v>
      </c>
      <c r="G9" s="6">
        <v>1200.68</v>
      </c>
      <c r="H9" s="6">
        <v>60.8</v>
      </c>
      <c r="I9" s="6">
        <v>-21.48000000000006</v>
      </c>
      <c r="J9" s="7">
        <v>-0.0022452179366572655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v>2422.01</v>
      </c>
      <c r="G10" s="6">
        <v>2161.96</v>
      </c>
      <c r="H10" s="6">
        <v>114.36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10">
        <v>3132</v>
      </c>
      <c r="E11" s="10">
        <v>3169</v>
      </c>
      <c r="F11" s="7">
        <v>555</v>
      </c>
      <c r="G11" s="6">
        <v>0</v>
      </c>
      <c r="H11" s="6">
        <v>0</v>
      </c>
      <c r="I11" s="6">
        <v>555</v>
      </c>
      <c r="J11" s="7">
        <v>0.058011915961116337</v>
      </c>
    </row>
    <row r="12" spans="1:10" ht="15">
      <c r="A12" s="32"/>
      <c r="B12" s="4" t="s">
        <v>16</v>
      </c>
      <c r="C12" s="6"/>
      <c r="D12" s="10">
        <v>2396</v>
      </c>
      <c r="E12" s="10">
        <v>2415</v>
      </c>
      <c r="F12" s="7">
        <v>285</v>
      </c>
      <c r="G12" s="6">
        <v>0</v>
      </c>
      <c r="H12" s="6">
        <v>0</v>
      </c>
      <c r="I12" s="6">
        <v>285</v>
      </c>
      <c r="J12" s="7">
        <v>0.029789902790843526</v>
      </c>
    </row>
    <row r="13" spans="1:10" ht="15">
      <c r="A13" s="32"/>
      <c r="B13" s="4" t="s">
        <v>17</v>
      </c>
      <c r="C13" s="6"/>
      <c r="D13" s="10">
        <v>6237</v>
      </c>
      <c r="E13" s="10">
        <v>6282</v>
      </c>
      <c r="F13" s="7">
        <v>450</v>
      </c>
      <c r="G13" s="6">
        <v>0</v>
      </c>
      <c r="H13" s="6">
        <v>0</v>
      </c>
      <c r="I13" s="6">
        <v>450</v>
      </c>
      <c r="J13" s="7">
        <v>0.047036688617121354</v>
      </c>
    </row>
    <row r="14" spans="1:10" ht="15">
      <c r="A14" s="32"/>
      <c r="B14" s="4" t="s">
        <v>18</v>
      </c>
      <c r="C14" s="6"/>
      <c r="D14" s="10">
        <v>8470</v>
      </c>
      <c r="E14" s="10">
        <v>8537</v>
      </c>
      <c r="F14" s="7">
        <v>670</v>
      </c>
      <c r="G14" s="6">
        <v>0</v>
      </c>
      <c r="H14" s="6">
        <v>0</v>
      </c>
      <c r="I14" s="6">
        <v>670</v>
      </c>
      <c r="J14" s="7">
        <v>0.07003240305215847</v>
      </c>
    </row>
    <row r="15" spans="1:12" ht="15">
      <c r="A15" s="33"/>
      <c r="B15" s="21" t="s">
        <v>14</v>
      </c>
      <c r="C15" s="21"/>
      <c r="D15" s="8"/>
      <c r="E15" s="21"/>
      <c r="F15" s="22">
        <v>1960</v>
      </c>
      <c r="G15" s="22">
        <v>0</v>
      </c>
      <c r="H15" s="22">
        <v>0</v>
      </c>
      <c r="I15" s="22">
        <v>1960</v>
      </c>
      <c r="J15" s="7">
        <v>0.20487091042123967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v>1005</v>
      </c>
      <c r="G16" s="23">
        <v>0</v>
      </c>
      <c r="H16" s="23">
        <v>0</v>
      </c>
      <c r="I16" s="23">
        <v>1005</v>
      </c>
      <c r="J16" s="7">
        <v>0.1050486045782377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v>955</v>
      </c>
      <c r="G17" s="11">
        <v>0</v>
      </c>
      <c r="H17" s="11">
        <v>0</v>
      </c>
      <c r="I17" s="11">
        <v>955</v>
      </c>
      <c r="J17" s="7">
        <v>0.09982230584300199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H5:H6"/>
    <mergeCell ref="I5:I6"/>
    <mergeCell ref="J5:J6"/>
    <mergeCell ref="A11:A15"/>
    <mergeCell ref="A4:J4"/>
    <mergeCell ref="A5:A6"/>
    <mergeCell ref="B5:B6"/>
    <mergeCell ref="C5:C6"/>
    <mergeCell ref="D5:E5"/>
    <mergeCell ref="F5:F6"/>
    <mergeCell ref="G5:G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L37"/>
  <sheetViews>
    <sheetView zoomScalePageLayoutView="0" workbookViewId="0" topLeftCell="A1">
      <pane xSplit="5" ySplit="10" topLeftCell="F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9" sqref="C9"/>
    </sheetView>
  </sheetViews>
  <sheetFormatPr defaultColWidth="9.140625" defaultRowHeight="15"/>
  <cols>
    <col min="1" max="1" width="5.00390625" style="0" customWidth="1"/>
    <col min="2" max="2" width="23.8515625" style="0" customWidth="1"/>
    <col min="3" max="3" width="19.140625" style="0" customWidth="1"/>
    <col min="4" max="4" width="13.7109375" style="0" customWidth="1"/>
    <col min="5" max="5" width="14.140625" style="0" customWidth="1"/>
    <col min="6" max="6" width="15.140625" style="0" customWidth="1"/>
    <col min="7" max="7" width="16.7109375" style="0" customWidth="1"/>
    <col min="8" max="8" width="15.57421875" style="0" customWidth="1"/>
    <col min="9" max="10" width="12.00390625" style="0" customWidth="1"/>
    <col min="11" max="11" width="9.57421875" style="0" bestFit="1" customWidth="1"/>
  </cols>
  <sheetData>
    <row r="3" ht="15.75">
      <c r="C3" s="13" t="s">
        <v>42</v>
      </c>
    </row>
    <row r="4" spans="1:10" ht="15">
      <c r="A4" s="26" t="s">
        <v>8</v>
      </c>
      <c r="B4" s="26"/>
      <c r="C4" s="26"/>
      <c r="D4" s="26"/>
      <c r="E4" s="26"/>
      <c r="F4" s="26"/>
      <c r="G4" s="26"/>
      <c r="H4" s="26"/>
      <c r="I4" s="26"/>
      <c r="J4" s="26"/>
    </row>
    <row r="5" spans="1:10" ht="71.25" customHeight="1">
      <c r="A5" s="27" t="s">
        <v>0</v>
      </c>
      <c r="B5" s="24" t="s">
        <v>1</v>
      </c>
      <c r="C5" s="27" t="s">
        <v>2</v>
      </c>
      <c r="D5" s="29" t="s">
        <v>7</v>
      </c>
      <c r="E5" s="30"/>
      <c r="F5" s="27" t="s">
        <v>11</v>
      </c>
      <c r="G5" s="27" t="s">
        <v>3</v>
      </c>
      <c r="H5" s="27" t="s">
        <v>4</v>
      </c>
      <c r="I5" s="27" t="s">
        <v>5</v>
      </c>
      <c r="J5" s="24" t="s">
        <v>6</v>
      </c>
    </row>
    <row r="6" spans="1:10" ht="15.75">
      <c r="A6" s="28"/>
      <c r="B6" s="25"/>
      <c r="C6" s="28"/>
      <c r="D6" s="14" t="s">
        <v>12</v>
      </c>
      <c r="E6" s="15" t="s">
        <v>13</v>
      </c>
      <c r="F6" s="28"/>
      <c r="G6" s="28"/>
      <c r="H6" s="28"/>
      <c r="I6" s="28"/>
      <c r="J6" s="25"/>
    </row>
    <row r="7" spans="1:12" ht="15">
      <c r="A7" s="16">
        <v>1</v>
      </c>
      <c r="B7" s="17" t="s">
        <v>22</v>
      </c>
      <c r="C7" s="16"/>
      <c r="D7" s="18"/>
      <c r="E7" s="19"/>
      <c r="F7" s="20">
        <v>70.13</v>
      </c>
      <c r="G7" s="20">
        <v>49.531316000000004</v>
      </c>
      <c r="H7" s="20">
        <v>0.14</v>
      </c>
      <c r="I7" s="6">
        <v>1.8099374400000001</v>
      </c>
      <c r="J7" s="7">
        <v>0.00018918547507055505</v>
      </c>
      <c r="L7" s="9"/>
    </row>
    <row r="8" spans="1:12" ht="15">
      <c r="A8" s="3">
        <v>2</v>
      </c>
      <c r="B8" s="4" t="s">
        <v>30</v>
      </c>
      <c r="C8" s="7"/>
      <c r="D8" s="5"/>
      <c r="E8" s="5"/>
      <c r="F8" s="7">
        <v>1465.81</v>
      </c>
      <c r="G8" s="6">
        <v>1036.22</v>
      </c>
      <c r="H8" s="6">
        <v>1.6600000000000001</v>
      </c>
      <c r="I8" s="6">
        <v>37.8648</v>
      </c>
      <c r="J8" s="7">
        <v>0.003957855126999059</v>
      </c>
      <c r="L8" s="9"/>
    </row>
    <row r="9" spans="1:12" ht="15">
      <c r="A9" s="3">
        <v>3</v>
      </c>
      <c r="B9" s="4" t="s">
        <v>31</v>
      </c>
      <c r="C9" s="6" t="s">
        <v>43</v>
      </c>
      <c r="D9" s="5"/>
      <c r="E9" s="5"/>
      <c r="F9" s="6">
        <v>1059</v>
      </c>
      <c r="G9" s="6">
        <v>1183.55</v>
      </c>
      <c r="H9" s="6">
        <v>48.8</v>
      </c>
      <c r="I9" s="6">
        <v>-173.34999999999997</v>
      </c>
      <c r="J9" s="7">
        <v>-0.018119577715062188</v>
      </c>
      <c r="L9" s="9"/>
    </row>
    <row r="10" spans="1:10" ht="15">
      <c r="A10" s="3">
        <v>4</v>
      </c>
      <c r="B10" s="4" t="s">
        <v>33</v>
      </c>
      <c r="C10" s="6"/>
      <c r="D10" s="5"/>
      <c r="E10" s="5"/>
      <c r="F10" s="6">
        <v>2524.81</v>
      </c>
      <c r="G10" s="6">
        <v>2219.7700000000004</v>
      </c>
      <c r="H10" s="6">
        <v>82.53999999999999</v>
      </c>
      <c r="I10" s="6">
        <v>0</v>
      </c>
      <c r="J10" s="7">
        <v>0</v>
      </c>
    </row>
    <row r="11" spans="1:10" ht="15">
      <c r="A11" s="31">
        <v>5</v>
      </c>
      <c r="B11" s="4" t="s">
        <v>15</v>
      </c>
      <c r="C11" s="6"/>
      <c r="D11" s="10">
        <v>3169</v>
      </c>
      <c r="E11" s="10">
        <v>3203</v>
      </c>
      <c r="F11" s="7">
        <v>510</v>
      </c>
      <c r="G11" s="6">
        <v>0</v>
      </c>
      <c r="H11" s="6">
        <v>0</v>
      </c>
      <c r="I11" s="6">
        <v>510</v>
      </c>
      <c r="J11" s="7">
        <v>0.0533082470994042</v>
      </c>
    </row>
    <row r="12" spans="1:10" ht="15">
      <c r="A12" s="32"/>
      <c r="B12" s="4" t="s">
        <v>16</v>
      </c>
      <c r="C12" s="6"/>
      <c r="D12" s="10">
        <v>2415</v>
      </c>
      <c r="E12" s="10">
        <v>2431</v>
      </c>
      <c r="F12" s="7">
        <v>240</v>
      </c>
      <c r="G12" s="6">
        <v>0</v>
      </c>
      <c r="H12" s="6">
        <v>0</v>
      </c>
      <c r="I12" s="6">
        <v>240</v>
      </c>
      <c r="J12" s="7">
        <v>0.02508623392913139</v>
      </c>
    </row>
    <row r="13" spans="1:10" ht="15">
      <c r="A13" s="32"/>
      <c r="B13" s="4" t="s">
        <v>17</v>
      </c>
      <c r="C13" s="6"/>
      <c r="D13" s="10">
        <v>6282</v>
      </c>
      <c r="E13" s="10">
        <v>6353</v>
      </c>
      <c r="F13" s="7">
        <v>710</v>
      </c>
      <c r="G13" s="6">
        <v>0</v>
      </c>
      <c r="H13" s="6">
        <v>0</v>
      </c>
      <c r="I13" s="6">
        <v>710</v>
      </c>
      <c r="J13" s="7">
        <v>0.07421344204034702</v>
      </c>
    </row>
    <row r="14" spans="1:10" ht="15">
      <c r="A14" s="32"/>
      <c r="B14" s="4" t="s">
        <v>18</v>
      </c>
      <c r="C14" s="6"/>
      <c r="D14" s="10">
        <v>8537</v>
      </c>
      <c r="E14" s="10">
        <v>8637</v>
      </c>
      <c r="F14" s="7">
        <v>1000</v>
      </c>
      <c r="G14" s="6">
        <v>0</v>
      </c>
      <c r="H14" s="6">
        <v>0</v>
      </c>
      <c r="I14" s="6">
        <v>1000</v>
      </c>
      <c r="J14" s="7">
        <v>0.10452597470471413</v>
      </c>
    </row>
    <row r="15" spans="1:12" ht="15">
      <c r="A15" s="33"/>
      <c r="B15" s="21" t="s">
        <v>14</v>
      </c>
      <c r="C15" s="21"/>
      <c r="D15" s="8"/>
      <c r="E15" s="21"/>
      <c r="F15" s="22">
        <v>2460</v>
      </c>
      <c r="G15" s="22">
        <v>0</v>
      </c>
      <c r="H15" s="22">
        <v>0</v>
      </c>
      <c r="I15" s="22">
        <v>2460</v>
      </c>
      <c r="J15" s="7">
        <v>0.25713389777359674</v>
      </c>
      <c r="K15" s="12"/>
      <c r="L15" s="9"/>
    </row>
    <row r="16" spans="1:12" ht="15">
      <c r="A16" s="1"/>
      <c r="B16" s="1"/>
      <c r="C16" s="1"/>
      <c r="D16" s="1"/>
      <c r="E16" s="1" t="s">
        <v>19</v>
      </c>
      <c r="F16" s="23">
        <v>1220</v>
      </c>
      <c r="G16" s="23">
        <v>0</v>
      </c>
      <c r="H16" s="23">
        <v>0</v>
      </c>
      <c r="I16" s="23">
        <v>1220</v>
      </c>
      <c r="J16" s="7">
        <v>0.12752168913975123</v>
      </c>
      <c r="K16" s="12"/>
      <c r="L16" s="9"/>
    </row>
    <row r="17" spans="1:10" ht="15">
      <c r="A17" s="1"/>
      <c r="B17" s="1"/>
      <c r="C17" s="1"/>
      <c r="D17" s="1"/>
      <c r="E17" s="1" t="s">
        <v>20</v>
      </c>
      <c r="F17" s="11">
        <v>1240</v>
      </c>
      <c r="G17" s="11">
        <v>0</v>
      </c>
      <c r="H17" s="11">
        <v>0</v>
      </c>
      <c r="I17" s="11">
        <v>1240</v>
      </c>
      <c r="J17" s="7">
        <v>0.1296122086338455</v>
      </c>
    </row>
    <row r="18" spans="1:8" ht="15">
      <c r="A18" s="1"/>
      <c r="B18" s="1"/>
      <c r="C18" s="1"/>
      <c r="D18" s="1"/>
      <c r="E18" s="1"/>
      <c r="F18" s="1"/>
      <c r="G18" s="1"/>
      <c r="H18" s="2"/>
    </row>
    <row r="19" spans="1:8" ht="15">
      <c r="A19" s="1"/>
      <c r="B19" s="1"/>
      <c r="C19" s="1"/>
      <c r="D19" s="1"/>
      <c r="E19" s="1"/>
      <c r="F19" s="1"/>
      <c r="G19" s="1"/>
      <c r="H19" s="2"/>
    </row>
    <row r="20" spans="1:8" ht="15">
      <c r="A20" s="1"/>
      <c r="B20" s="1"/>
      <c r="C20" s="1"/>
      <c r="D20" s="1"/>
      <c r="E20" s="1"/>
      <c r="F20" s="1"/>
      <c r="G20" s="1"/>
      <c r="H20" s="2"/>
    </row>
    <row r="21" spans="1:8" ht="15">
      <c r="A21" s="1"/>
      <c r="B21" s="1"/>
      <c r="C21" s="1"/>
      <c r="D21" s="1"/>
      <c r="E21" s="1"/>
      <c r="F21" s="1"/>
      <c r="G21" s="1"/>
      <c r="H21" s="2"/>
    </row>
    <row r="22" spans="1:8" ht="15">
      <c r="A22" s="1"/>
      <c r="B22" s="1"/>
      <c r="C22" s="1"/>
      <c r="D22" s="1"/>
      <c r="E22" s="1"/>
      <c r="F22" s="1"/>
      <c r="G22" s="1"/>
      <c r="H22" s="2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</sheetData>
  <sheetProtection/>
  <mergeCells count="11">
    <mergeCell ref="J5:J6"/>
    <mergeCell ref="A11:A15"/>
    <mergeCell ref="A4:J4"/>
    <mergeCell ref="A5:A6"/>
    <mergeCell ref="B5:B6"/>
    <mergeCell ref="C5:C6"/>
    <mergeCell ref="D5:E5"/>
    <mergeCell ref="F5:F6"/>
    <mergeCell ref="G5:G6"/>
    <mergeCell ref="H5:H6"/>
    <mergeCell ref="I5:I6"/>
  </mergeCells>
  <printOptions/>
  <pageMargins left="0.6299212598425197" right="0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2013-01-11T04:39:17Z</cp:lastPrinted>
  <dcterms:created xsi:type="dcterms:W3CDTF">2006-09-16T00:00:00Z</dcterms:created>
  <dcterms:modified xsi:type="dcterms:W3CDTF">2015-01-30T08:40:18Z</dcterms:modified>
  <cp:category/>
  <cp:version/>
  <cp:contentType/>
  <cp:contentStatus/>
</cp:coreProperties>
</file>