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6885" activeTab="0"/>
  </bookViews>
  <sheets>
    <sheet name="22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<sst xmlns="http://schemas.openxmlformats.org/spreadsheetml/2006/main" count="49" uniqueCount="39">
  <si>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</si>
  <si>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</si>
  <si>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</si>
  <si>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</si>
  <si>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</si>
  <si>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</si>
  <si>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</si>
  <si>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</si>
  <si>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</si>
  <si>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</si>
  <si>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</si>
  <si>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</si>
  <si>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</si>
  <si>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</si>
  <si>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</si>
  <si>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</si>
  <si>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</si>
  <si>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</si>
  <si>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</si>
  <si>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лифты</t>
  </si>
  <si>
    <t>Итого</t>
  </si>
  <si>
    <t>Волгоградская 222</t>
  </si>
  <si>
    <t>Фактич. потреб-е июнь</t>
  </si>
  <si>
    <t>Доля</t>
  </si>
  <si>
    <t>Показ-ия на 25,12,14</t>
  </si>
  <si>
    <t>Информация по общедомовым приборам учета электроэнергии и фактическом потреблении электроэнергии за 2015 год.</t>
  </si>
  <si>
    <t>Показ-ия на 25,01,15</t>
  </si>
  <si>
    <t>Показ-ия на 25,02,15</t>
  </si>
  <si>
    <t>Показ-ия на 25,03,15</t>
  </si>
  <si>
    <t>Показ-ия на 25,04,15</t>
  </si>
  <si>
    <t>Показ-ия на 25,05,15</t>
  </si>
  <si>
    <t>Показ-ия на 25,06,15</t>
  </si>
  <si>
    <t>Показ-ия на 25,07,15</t>
  </si>
  <si>
    <t>Показ-ия на 25,08,15</t>
  </si>
  <si>
    <t>Показ-ия на 25,09,15</t>
  </si>
  <si>
    <t>Показ-ия на 25,10,15</t>
  </si>
  <si>
    <t>Показ-ия на 25,11,15</t>
  </si>
  <si>
    <t>Показ-ия на 25,12,15</t>
  </si>
  <si>
    <t>№ п/п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</si>
</sst>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0.000"/>
    <numFmt numFmtId="175" formatCode="0.0000"/>
    <numFmt numFmtId="176" formatCode="0.00000"/>
    <numFmt numFmtId="177" formatCode="0.00000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1" fillId="24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0" xfId="0" applyFill="1" applyAlignment="1">
      <alignment/>
    </xf>
    <xf numFmtId="0" fontId="1" fillId="25" borderId="0" xfId="0" applyFont="1" applyFill="1" applyAlignment="1">
      <alignment horizontal="right"/>
    </xf>
    <xf numFmtId="1" fontId="1" fillId="25" borderId="0" xfId="0" applyNumberFormat="1" applyFont="1" applyFill="1" applyAlignment="1">
      <alignment/>
    </xf>
    <xf numFmtId="0" fontId="1" fillId="25" borderId="0" xfId="0" applyFont="1" applyFill="1" applyAlignment="1">
      <alignment/>
    </xf>
    <xf numFmtId="0" fontId="0" fillId="25" borderId="0" xfId="0" applyFill="1" applyAlignment="1">
      <alignment horizontal="center"/>
    </xf>
    <xf numFmtId="1" fontId="0" fillId="25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PageLayoutView="0" workbookViewId="0" topLeftCell="A1">
      <pane xSplit="9" ySplit="11" topLeftCell="Y12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A14" sqref="A14:A15"/>
    </sheetView>
  </sheetViews>
  <sheetFormatPr defaultColWidth="9.140625" defaultRowHeight="15"/>
  <cols>
    <col min="2" max="2" width="4.140625" style="0" customWidth="1"/>
    <col min="7" max="7" width="5.28125" style="0" customWidth="1"/>
    <col min="8" max="9" width="0" style="0" hidden="1" customWidth="1"/>
    <col min="10" max="10" width="9.7109375" style="0" hidden="1" customWidth="1"/>
    <col min="11" max="11" width="0" style="0" hidden="1" customWidth="1"/>
    <col min="12" max="12" width="9.7109375" style="0" hidden="1" customWidth="1"/>
    <col min="13" max="13" width="0" style="0" hidden="1" customWidth="1"/>
    <col min="14" max="14" width="9.57421875" style="0" hidden="1" customWidth="1"/>
    <col min="15" max="15" width="0" style="0" hidden="1" customWidth="1"/>
    <col min="16" max="16" width="9.421875" style="0" hidden="1" customWidth="1"/>
    <col min="17" max="17" width="0" style="0" hidden="1" customWidth="1"/>
    <col min="18" max="18" width="9.57421875" style="0" customWidth="1"/>
    <col min="22" max="22" width="9.421875" style="0" customWidth="1"/>
    <col min="24" max="24" width="9.7109375" style="0" customWidth="1"/>
    <col min="26" max="26" width="9.57421875" style="0" customWidth="1"/>
    <col min="28" max="28" width="10.28125" style="0" customWidth="1"/>
    <col min="30" max="30" width="9.421875" style="0" customWidth="1"/>
    <col min="32" max="32" width="9.421875" style="0" customWidth="1"/>
  </cols>
  <sheetData>
    <row r="1" spans="1:2" ht="18">
      <c r="A1" s="1" t="s">
        <v>25</v>
      </c>
      <c r="B1" s="1"/>
    </row>
    <row r="3" spans="1:32" ht="60">
      <c r="A3" s="3" t="s">
        <v>0</v>
      </c>
      <c r="B3" s="24" t="s">
        <v>38</v>
      </c>
      <c r="C3" s="4" t="s">
        <v>1</v>
      </c>
      <c r="D3" s="5" t="s">
        <v>2</v>
      </c>
      <c r="E3" s="4" t="s">
        <v>3</v>
      </c>
      <c r="F3" s="4" t="s">
        <v>23</v>
      </c>
      <c r="G3" s="5" t="s">
        <v>4</v>
      </c>
      <c r="H3" s="4" t="s">
        <v>24</v>
      </c>
      <c r="I3" s="4" t="s">
        <v>26</v>
      </c>
      <c r="J3" s="8" t="s">
        <v>5</v>
      </c>
      <c r="K3" s="4" t="s">
        <v>27</v>
      </c>
      <c r="L3" s="8" t="s">
        <v>6</v>
      </c>
      <c r="M3" s="4" t="s">
        <v>28</v>
      </c>
      <c r="N3" s="8" t="s">
        <v>7</v>
      </c>
      <c r="O3" s="4" t="s">
        <v>29</v>
      </c>
      <c r="P3" s="8" t="s">
        <v>8</v>
      </c>
      <c r="Q3" s="4" t="s">
        <v>30</v>
      </c>
      <c r="R3" s="8" t="s">
        <v>9</v>
      </c>
      <c r="S3" s="4" t="s">
        <v>31</v>
      </c>
      <c r="T3" s="8" t="s">
        <v>22</v>
      </c>
      <c r="U3" s="4" t="s">
        <v>32</v>
      </c>
      <c r="V3" s="8" t="s">
        <v>10</v>
      </c>
      <c r="W3" s="4" t="s">
        <v>33</v>
      </c>
      <c r="X3" s="8" t="s">
        <v>11</v>
      </c>
      <c r="Y3" s="4" t="s">
        <v>34</v>
      </c>
      <c r="Z3" s="8" t="s">
        <v>12</v>
      </c>
      <c r="AA3" s="4" t="s">
        <v>35</v>
      </c>
      <c r="AB3" s="8" t="s">
        <v>13</v>
      </c>
      <c r="AC3" s="4" t="s">
        <v>36</v>
      </c>
      <c r="AD3" s="8" t="s">
        <v>14</v>
      </c>
      <c r="AE3" s="4" t="s">
        <v>37</v>
      </c>
      <c r="AF3" s="8" t="s">
        <v>15</v>
      </c>
    </row>
    <row r="4" spans="1:32" ht="15">
      <c r="A4" s="28" t="s">
        <v>21</v>
      </c>
      <c r="B4" s="26">
        <v>2</v>
      </c>
      <c r="C4" s="25">
        <v>683568</v>
      </c>
      <c r="D4" s="25" t="s">
        <v>16</v>
      </c>
      <c r="E4" s="25">
        <v>30</v>
      </c>
      <c r="F4" s="31">
        <v>1.0232</v>
      </c>
      <c r="G4" s="2" t="s">
        <v>17</v>
      </c>
      <c r="H4" s="2">
        <v>10724</v>
      </c>
      <c r="I4" s="2">
        <v>10907</v>
      </c>
      <c r="J4" s="11">
        <f>(I4-H4)*E4*F4</f>
        <v>5617.368</v>
      </c>
      <c r="K4" s="2">
        <v>11080</v>
      </c>
      <c r="L4" s="11">
        <f>(K4-I4)*E4*F4</f>
        <v>5310.408</v>
      </c>
      <c r="M4" s="2">
        <v>11256</v>
      </c>
      <c r="N4" s="11">
        <f>(M4-K4)*E4*F4</f>
        <v>5402.496000000001</v>
      </c>
      <c r="O4" s="2">
        <v>11335</v>
      </c>
      <c r="P4" s="11">
        <f>(O4-M4)*E4*F4</f>
        <v>2424.9840000000004</v>
      </c>
      <c r="Q4" s="13">
        <v>11462</v>
      </c>
      <c r="R4" s="11">
        <f>(Q4-O4)*E4*F4</f>
        <v>3898.3920000000003</v>
      </c>
      <c r="S4" s="2">
        <v>11572</v>
      </c>
      <c r="T4" s="11">
        <f>(S4-Q4)*E4*F4+0.44</f>
        <v>3377.0000000000005</v>
      </c>
      <c r="U4" s="2">
        <v>11670</v>
      </c>
      <c r="V4" s="20">
        <f>(U4-S4)*E4*F4-0.208</f>
        <v>3008.0000000000005</v>
      </c>
      <c r="W4" s="2">
        <v>11772</v>
      </c>
      <c r="X4" s="11">
        <f>(W4-U4)*E4*F4+0.008</f>
        <v>3131</v>
      </c>
      <c r="Y4" s="2">
        <v>11909</v>
      </c>
      <c r="Z4" s="11">
        <f>(Y4-W4)*E4*F4-0.352</f>
        <v>4205.000000000001</v>
      </c>
      <c r="AA4" s="2">
        <v>12041</v>
      </c>
      <c r="AB4" s="2">
        <f>(AA4-Y4)*E4*F4+0.128</f>
        <v>4052.0000000000005</v>
      </c>
      <c r="AC4" s="2">
        <v>12192</v>
      </c>
      <c r="AD4" s="2">
        <f>(AC4-AA4)*E4*F4-0.096</f>
        <v>4635.000000000001</v>
      </c>
      <c r="AE4" s="2">
        <v>12293</v>
      </c>
      <c r="AF4" s="2">
        <f>(AE4-AC4)*E4*F4-0.296</f>
        <v>3100.0000000000005</v>
      </c>
    </row>
    <row r="5" spans="1:32" ht="15">
      <c r="A5" s="28"/>
      <c r="B5" s="27"/>
      <c r="C5" s="25"/>
      <c r="D5" s="25"/>
      <c r="E5" s="25"/>
      <c r="F5" s="25"/>
      <c r="G5" s="2" t="s">
        <v>18</v>
      </c>
      <c r="H5" s="2">
        <v>8838</v>
      </c>
      <c r="I5" s="2">
        <v>9076</v>
      </c>
      <c r="J5" s="11">
        <f>(I5-H5)*E4*F4</f>
        <v>7305.648000000001</v>
      </c>
      <c r="K5" s="2">
        <v>9209</v>
      </c>
      <c r="L5" s="11">
        <f>(K5-I5)*E4*F4</f>
        <v>4082.568</v>
      </c>
      <c r="M5" s="2">
        <v>9315</v>
      </c>
      <c r="N5" s="11">
        <f>(M5-K5)*E4*F4</f>
        <v>3253.7760000000003</v>
      </c>
      <c r="O5" s="2">
        <v>9391</v>
      </c>
      <c r="P5" s="11">
        <f>(O5-M5)*E4*F4</f>
        <v>2332.896</v>
      </c>
      <c r="Q5" s="2">
        <v>9481</v>
      </c>
      <c r="R5" s="11">
        <f>(Q5-O5)*E4*F4-0.39</f>
        <v>2762.2500000000005</v>
      </c>
      <c r="S5" s="2">
        <v>9576</v>
      </c>
      <c r="T5" s="11">
        <f>(S5-Q5)*E4*F4-0.12</f>
        <v>2916.0000000000005</v>
      </c>
      <c r="U5" s="2">
        <v>9675</v>
      </c>
      <c r="V5" s="20">
        <f>(U5-S5)*E4*F4+0.096</f>
        <v>3039.0000000000005</v>
      </c>
      <c r="W5" s="2">
        <v>9762</v>
      </c>
      <c r="X5" s="11">
        <f>(W5-U5)*E4*F4+0.448</f>
        <v>2671</v>
      </c>
      <c r="Y5" s="2">
        <v>9893</v>
      </c>
      <c r="Z5" s="11">
        <f>(Y5-W5)*E4*F4-0.176</f>
        <v>4021.0000000000005</v>
      </c>
      <c r="AA5" s="2">
        <v>10030</v>
      </c>
      <c r="AB5" s="2">
        <f>(AA5-Y5)*E4*F4-0.352</f>
        <v>4205.000000000001</v>
      </c>
      <c r="AC5" s="2">
        <v>10149</v>
      </c>
      <c r="AD5" s="2">
        <f>(AC5-AA5)*E4*F4+0.176</f>
        <v>3653.0000000000005</v>
      </c>
      <c r="AE5" s="2">
        <v>10244</v>
      </c>
      <c r="AF5" s="11">
        <f>(AE5-AC5)*E4*F4-0.12</f>
        <v>2916.0000000000005</v>
      </c>
    </row>
    <row r="6" spans="1:32" ht="15">
      <c r="A6" s="28"/>
      <c r="B6" s="26">
        <v>1</v>
      </c>
      <c r="C6" s="25">
        <v>683583</v>
      </c>
      <c r="D6" s="25" t="s">
        <v>16</v>
      </c>
      <c r="E6" s="25">
        <v>30</v>
      </c>
      <c r="F6" s="31">
        <v>1.0232</v>
      </c>
      <c r="G6" s="2" t="s">
        <v>17</v>
      </c>
      <c r="H6" s="2">
        <v>9978</v>
      </c>
      <c r="I6" s="2">
        <v>10129</v>
      </c>
      <c r="J6" s="11">
        <f>(I6-H6)*E6*F6</f>
        <v>4635.0960000000005</v>
      </c>
      <c r="K6" s="2">
        <v>10288</v>
      </c>
      <c r="L6" s="11">
        <f>(K6-I6)*E6*F6</f>
        <v>4880.664000000001</v>
      </c>
      <c r="M6" s="2">
        <v>10454</v>
      </c>
      <c r="N6" s="11">
        <f>(M6-K6)*E6*F6</f>
        <v>5095.536000000001</v>
      </c>
      <c r="O6" s="2">
        <v>10530</v>
      </c>
      <c r="P6" s="11">
        <f>(O6-M6)*E6*F6</f>
        <v>2332.896</v>
      </c>
      <c r="Q6" s="2">
        <v>10646</v>
      </c>
      <c r="R6" s="11">
        <f>(Q6-O6)*E6*F6</f>
        <v>3560.7360000000003</v>
      </c>
      <c r="S6" s="2">
        <v>10746</v>
      </c>
      <c r="T6" s="11">
        <f>(S6-Q6)*E6*F6+0.4</f>
        <v>3070.0000000000005</v>
      </c>
      <c r="U6" s="2">
        <v>10842</v>
      </c>
      <c r="V6" s="20">
        <f>(U6-S6)*E6*F6+0.184</f>
        <v>2947.0000000000005</v>
      </c>
      <c r="W6" s="2">
        <v>10943</v>
      </c>
      <c r="X6" s="11">
        <f>(W6-U6)*E6*F6-0.296</f>
        <v>3100.0000000000005</v>
      </c>
      <c r="Y6" s="2">
        <v>11048</v>
      </c>
      <c r="Z6" s="11">
        <f>(Y6-W6)*E6*F6-0.08</f>
        <v>3223.0000000000005</v>
      </c>
      <c r="AA6" s="2">
        <v>11155</v>
      </c>
      <c r="AB6" s="2">
        <f>(AA6-Y6)*E6*F6+0.528</f>
        <v>3285</v>
      </c>
      <c r="AC6" s="2">
        <v>11286</v>
      </c>
      <c r="AD6" s="2">
        <f>(AC6-AA6)*E6*F6-0.176</f>
        <v>4021.0000000000005</v>
      </c>
      <c r="AE6" s="2">
        <v>11374</v>
      </c>
      <c r="AF6" s="2">
        <f>(AE6-AC6)*E6*F6-0.248</f>
        <v>2701.0000000000005</v>
      </c>
    </row>
    <row r="7" spans="1:32" ht="15">
      <c r="A7" s="28"/>
      <c r="B7" s="27"/>
      <c r="C7" s="25"/>
      <c r="D7" s="25"/>
      <c r="E7" s="25"/>
      <c r="F7" s="25"/>
      <c r="G7" s="2" t="s">
        <v>18</v>
      </c>
      <c r="H7" s="2">
        <v>8171</v>
      </c>
      <c r="I7" s="2">
        <v>8319</v>
      </c>
      <c r="J7" s="11">
        <f>(I7-H7)*E6*F6</f>
        <v>4543.008000000001</v>
      </c>
      <c r="K7" s="2">
        <v>8437</v>
      </c>
      <c r="L7" s="11">
        <f>(K7-I7)*E6*F6</f>
        <v>3622.1280000000006</v>
      </c>
      <c r="M7" s="2">
        <v>8537</v>
      </c>
      <c r="N7" s="11">
        <f>(M7-K7)*E6*F6</f>
        <v>3069.6000000000004</v>
      </c>
      <c r="O7" s="2">
        <v>8607</v>
      </c>
      <c r="P7" s="11">
        <f>(O7-M7)*E6*F6</f>
        <v>2148.7200000000003</v>
      </c>
      <c r="Q7" s="2">
        <v>8689</v>
      </c>
      <c r="R7" s="11">
        <f>(Q7-O7)*E6*F6-0.17</f>
        <v>2516.902</v>
      </c>
      <c r="S7" s="2">
        <v>8769</v>
      </c>
      <c r="T7" s="11">
        <f>(S7-Q7)*E6*F6+0.32</f>
        <v>2456.0000000000005</v>
      </c>
      <c r="U7" s="2">
        <v>8857</v>
      </c>
      <c r="V7" s="20">
        <f>(U7-S7)*E6*F6-0.248</f>
        <v>2701.0000000000005</v>
      </c>
      <c r="W7" s="2">
        <v>8937</v>
      </c>
      <c r="X7" s="11">
        <f>(W7-U7)*E6*F6+0.32</f>
        <v>2456.0000000000005</v>
      </c>
      <c r="Y7" s="2">
        <v>9030</v>
      </c>
      <c r="Z7" s="11">
        <f>(Y7-W7)*E6*F6+0.272</f>
        <v>2855.0000000000005</v>
      </c>
      <c r="AA7" s="2">
        <v>9138</v>
      </c>
      <c r="AB7" s="2">
        <f>(AA7-Y7)*E6*F6-0.168</f>
        <v>3315.0000000000005</v>
      </c>
      <c r="AC7" s="2">
        <v>9239</v>
      </c>
      <c r="AD7" s="2">
        <f>(AC7-AA7)*E6*F6-0.296</f>
        <v>3100.0000000000005</v>
      </c>
      <c r="AE7" s="2">
        <v>9323</v>
      </c>
      <c r="AF7" s="2">
        <f>(AE7-AC7)*E6*F6+0.536</f>
        <v>2579.0000000000005</v>
      </c>
    </row>
    <row r="8" spans="1:32" ht="15" customHeight="1">
      <c r="A8" s="28"/>
      <c r="B8" s="26">
        <v>3</v>
      </c>
      <c r="C8" s="25">
        <v>683484</v>
      </c>
      <c r="D8" s="25" t="s">
        <v>19</v>
      </c>
      <c r="E8" s="25">
        <v>6</v>
      </c>
      <c r="F8" s="31">
        <v>1.0029</v>
      </c>
      <c r="G8" s="2" t="s">
        <v>17</v>
      </c>
      <c r="H8" s="2">
        <v>10637</v>
      </c>
      <c r="I8" s="2">
        <v>10809</v>
      </c>
      <c r="J8" s="11">
        <f>(I8-H8)*E8*F8</f>
        <v>1034.9928</v>
      </c>
      <c r="K8" s="2">
        <v>10965</v>
      </c>
      <c r="L8" s="11">
        <f>(K8-I8)*E8*F8</f>
        <v>938.7144</v>
      </c>
      <c r="M8" s="2">
        <v>11119</v>
      </c>
      <c r="N8" s="11">
        <f>(M8-K8)*E8*F8</f>
        <v>926.6795999999999</v>
      </c>
      <c r="O8" s="2">
        <v>11186</v>
      </c>
      <c r="P8" s="11">
        <f>(O8-M8)*E8*F8</f>
        <v>403.16579999999993</v>
      </c>
      <c r="Q8" s="2">
        <v>11292</v>
      </c>
      <c r="R8" s="11">
        <f>(Q8-O8)*E8*F8</f>
        <v>637.8444</v>
      </c>
      <c r="S8" s="2">
        <v>11380</v>
      </c>
      <c r="T8" s="11">
        <f>(S8-Q8)*E8*F8-0.531</f>
        <v>529.0002</v>
      </c>
      <c r="U8" s="2">
        <v>11484</v>
      </c>
      <c r="V8" s="20">
        <f>(U8-S8)*E8*F8+0.1904</f>
        <v>625.9999999999999</v>
      </c>
      <c r="W8" s="2">
        <v>11595</v>
      </c>
      <c r="X8" s="2">
        <f>(W8-U8)*E8*F8+0.0686</f>
        <v>667.9999999999999</v>
      </c>
      <c r="Y8" s="2">
        <v>11704</v>
      </c>
      <c r="Z8" s="2">
        <f>(Y8-W8)*E8*F8+0.1034</f>
        <v>655.9999999999999</v>
      </c>
      <c r="AA8" s="2">
        <v>11835</v>
      </c>
      <c r="AB8" s="2">
        <f>(AA8-Y8)*E8*F8-0.2794</f>
        <v>787.9999999999999</v>
      </c>
      <c r="AC8" s="2">
        <v>11993</v>
      </c>
      <c r="AD8" s="2">
        <f>(AC8-AA8)*E8*F8+0.2508</f>
        <v>950.9999999999999</v>
      </c>
      <c r="AE8" s="2">
        <v>12100</v>
      </c>
      <c r="AF8" s="2">
        <f>(AE8-AC8)*E8*F8+0.1382</f>
        <v>643.9999999999999</v>
      </c>
    </row>
    <row r="9" spans="1:32" ht="15">
      <c r="A9" s="28"/>
      <c r="B9" s="27"/>
      <c r="C9" s="25"/>
      <c r="D9" s="25"/>
      <c r="E9" s="25"/>
      <c r="F9" s="25"/>
      <c r="G9" s="2" t="s">
        <v>18</v>
      </c>
      <c r="H9" s="2">
        <v>10941</v>
      </c>
      <c r="I9" s="2">
        <v>11130</v>
      </c>
      <c r="J9" s="11">
        <f>(I9-H9)*E8*F8</f>
        <v>1137.2885999999999</v>
      </c>
      <c r="K9" s="2">
        <v>11278</v>
      </c>
      <c r="L9" s="11">
        <f>(K9-I9)*E8*F8</f>
        <v>890.5751999999999</v>
      </c>
      <c r="M9" s="2">
        <v>11387</v>
      </c>
      <c r="N9" s="11">
        <f>(M9-K9)*E8*F8</f>
        <v>655.8965999999999</v>
      </c>
      <c r="O9" s="2">
        <v>11476</v>
      </c>
      <c r="P9" s="11">
        <f>(O9-M9)*E8*F8</f>
        <v>535.5486</v>
      </c>
      <c r="Q9" s="2">
        <v>11581</v>
      </c>
      <c r="R9" s="11">
        <f>(Q9-O9)*E8*F8+0.55</f>
        <v>632.3769999999998</v>
      </c>
      <c r="S9" s="2">
        <v>11688</v>
      </c>
      <c r="T9" s="11">
        <f>(S9-Q9)*E8*F8+0.138</f>
        <v>643.9997999999999</v>
      </c>
      <c r="U9" s="2">
        <v>11825</v>
      </c>
      <c r="V9" s="20">
        <f>(U9-S9)*E8*F8-0.384</f>
        <v>823.9997999999999</v>
      </c>
      <c r="W9" s="2">
        <v>11966</v>
      </c>
      <c r="X9" s="2">
        <f>(W9-U9)*E8*F8-0.4534</f>
        <v>847.9999999999999</v>
      </c>
      <c r="Y9" s="2">
        <v>12093</v>
      </c>
      <c r="Z9" s="11">
        <f>(Y9-W9)*E8*F8-0.2098</f>
        <v>764</v>
      </c>
      <c r="AA9" s="2">
        <v>12264</v>
      </c>
      <c r="AB9" s="11">
        <f>(AA9-Y9)*E8*F8+0.0246</f>
        <v>1028.9999999999998</v>
      </c>
      <c r="AC9" s="2">
        <v>12433</v>
      </c>
      <c r="AD9" s="11">
        <f>(AC9-AA9)*E8*F8+0.0594</f>
        <v>1016.9999999999999</v>
      </c>
      <c r="AE9" s="2">
        <v>12561</v>
      </c>
      <c r="AF9" s="11">
        <f>(AE9-AC9)*E8*F8-0.2272</f>
        <v>769.9999999999999</v>
      </c>
    </row>
    <row r="10" spans="1:32" ht="15">
      <c r="A10" s="28"/>
      <c r="B10" s="26">
        <v>4</v>
      </c>
      <c r="C10" s="25">
        <v>692298</v>
      </c>
      <c r="D10" s="29" t="s">
        <v>19</v>
      </c>
      <c r="E10" s="25">
        <v>1</v>
      </c>
      <c r="F10" s="31">
        <v>1.0029</v>
      </c>
      <c r="G10" s="2" t="s">
        <v>17</v>
      </c>
      <c r="H10" s="2">
        <v>54858</v>
      </c>
      <c r="I10" s="2">
        <v>55439</v>
      </c>
      <c r="J10" s="11">
        <f>(I10-H10)*E10*F10</f>
        <v>582.6849</v>
      </c>
      <c r="K10" s="2">
        <v>56026</v>
      </c>
      <c r="L10" s="11">
        <f>(K10-I10)*E10*F10</f>
        <v>588.7022999999999</v>
      </c>
      <c r="M10" s="2">
        <v>56574</v>
      </c>
      <c r="N10" s="11">
        <f>(M10-K10)*E10*F10</f>
        <v>549.5891999999999</v>
      </c>
      <c r="O10" s="2">
        <v>56840</v>
      </c>
      <c r="P10" s="11">
        <f>(O10-M10)*E10*F10</f>
        <v>266.77139999999997</v>
      </c>
      <c r="Q10" s="2">
        <v>57301</v>
      </c>
      <c r="R10" s="11">
        <f>(Q10-O10)*E10*F10</f>
        <v>462.33689999999996</v>
      </c>
      <c r="S10" s="2">
        <v>57640</v>
      </c>
      <c r="T10" s="11">
        <f>(S10-Q10)*E10*F10+0.017</f>
        <v>340.0001</v>
      </c>
      <c r="U10" s="2">
        <v>58061</v>
      </c>
      <c r="V10" s="20">
        <f>(U10-S10)*E10*F10-0.221</f>
        <v>421.99989999999997</v>
      </c>
      <c r="W10" s="2">
        <v>58424</v>
      </c>
      <c r="X10" s="2">
        <f>(W10-U10)*E10*F10-0.0527</f>
        <v>363.99999999999994</v>
      </c>
      <c r="Y10" s="2">
        <v>58757</v>
      </c>
      <c r="Z10" s="2">
        <f>(Y10-W10)*E10*F10+0.0343</f>
        <v>333.99999999999994</v>
      </c>
      <c r="AA10" s="2">
        <v>59201</v>
      </c>
      <c r="AB10" s="2">
        <f>(AA10-Y10)*E10*F10-0.2876</f>
        <v>444.99999999999994</v>
      </c>
      <c r="AC10" s="2">
        <v>59618</v>
      </c>
      <c r="AD10" s="2">
        <f>(AC10-AA10)*E10*F10-0.2093</f>
        <v>418</v>
      </c>
      <c r="AE10" s="2">
        <v>59936</v>
      </c>
      <c r="AF10" s="2">
        <f>(AE10-AC10)*E10*F10+0.0778</f>
        <v>319</v>
      </c>
    </row>
    <row r="11" spans="1:32" ht="15">
      <c r="A11" s="28"/>
      <c r="B11" s="27"/>
      <c r="C11" s="25"/>
      <c r="D11" s="30"/>
      <c r="E11" s="25"/>
      <c r="F11" s="25"/>
      <c r="G11" s="2" t="s">
        <v>18</v>
      </c>
      <c r="H11" s="2">
        <v>57275</v>
      </c>
      <c r="I11" s="2">
        <v>57988</v>
      </c>
      <c r="J11" s="11">
        <f>(I11-H11)*E10*F10</f>
        <v>715.0677</v>
      </c>
      <c r="K11" s="2">
        <v>58649</v>
      </c>
      <c r="L11" s="11">
        <f>(K11-I11)*E10*F10</f>
        <v>662.9168999999999</v>
      </c>
      <c r="M11" s="2">
        <v>59128</v>
      </c>
      <c r="N11" s="11">
        <f>(M11-K11)*E10*F10</f>
        <v>480.3890999999999</v>
      </c>
      <c r="O11" s="2">
        <v>59490</v>
      </c>
      <c r="P11" s="11">
        <f>(O11-M11)*E10*F10</f>
        <v>363.04979999999995</v>
      </c>
      <c r="Q11" s="2">
        <v>60026</v>
      </c>
      <c r="R11" s="11">
        <f>(Q11-O11)*E10*F10-0.17</f>
        <v>537.3844</v>
      </c>
      <c r="S11" s="2">
        <v>60467</v>
      </c>
      <c r="T11" s="11">
        <f>(S11-Q11)*E10*F10-0.279</f>
        <v>441.99989999999997</v>
      </c>
      <c r="U11" s="2">
        <v>61042</v>
      </c>
      <c r="V11" s="20">
        <f>(U11-S11)*E10*F10+0.3325</f>
        <v>576.9999999999999</v>
      </c>
      <c r="W11" s="2">
        <v>61510</v>
      </c>
      <c r="X11" s="2">
        <f>(W11-U11)*E10*F10-0.3572</f>
        <v>469</v>
      </c>
      <c r="Y11" s="2">
        <v>61931</v>
      </c>
      <c r="Z11" s="2">
        <f>(Y11-W11)*E10*F10-0.2209</f>
        <v>422</v>
      </c>
      <c r="AA11" s="2">
        <v>62568</v>
      </c>
      <c r="AB11" s="2">
        <f>(AA11-Y11)*E10*F10+0.1527</f>
        <v>638.9999999999999</v>
      </c>
      <c r="AC11" s="2">
        <v>63066</v>
      </c>
      <c r="AD11" s="2">
        <f>(AC11-AA11)*E10*F10+0.5558</f>
        <v>499.99999999999994</v>
      </c>
      <c r="AE11" s="2">
        <v>63488</v>
      </c>
      <c r="AF11" s="2">
        <f>(AE11-AC11)*E10*F10-0.2238</f>
        <v>423</v>
      </c>
    </row>
    <row r="12" spans="1:32" ht="15">
      <c r="A12" s="28"/>
      <c r="B12" s="22"/>
      <c r="C12" s="32" t="s">
        <v>20</v>
      </c>
      <c r="D12" s="33"/>
      <c r="E12" s="34"/>
      <c r="F12" s="9"/>
      <c r="G12" s="6" t="s">
        <v>17</v>
      </c>
      <c r="H12" s="12">
        <f aca="true" t="shared" si="0" ref="H12:K13">H4+H6+H8+H10</f>
        <v>86197</v>
      </c>
      <c r="I12" s="12">
        <f t="shared" si="0"/>
        <v>87284</v>
      </c>
      <c r="J12" s="12">
        <f t="shared" si="0"/>
        <v>11870.1417</v>
      </c>
      <c r="K12" s="12">
        <f t="shared" si="0"/>
        <v>88359</v>
      </c>
      <c r="L12" s="12">
        <f>L4+L6+L8+L10</f>
        <v>11718.488700000002</v>
      </c>
      <c r="M12" s="7"/>
      <c r="N12" s="12">
        <f>N4+N6+N8+N10</f>
        <v>11974.300800000003</v>
      </c>
      <c r="O12" s="7"/>
      <c r="P12" s="12">
        <f>P4+P6+P8+P10</f>
        <v>5427.8172</v>
      </c>
      <c r="Q12" s="7"/>
      <c r="R12" s="12">
        <f>R4+R6+R8+R10</f>
        <v>8559.3093</v>
      </c>
      <c r="S12" s="7"/>
      <c r="T12" s="7">
        <f>T4+T6+T8+T10</f>
        <v>7316.000300000001</v>
      </c>
      <c r="U12" s="7"/>
      <c r="V12" s="21">
        <f>V4+V6+V8+V10</f>
        <v>7002.999900000001</v>
      </c>
      <c r="W12" s="7"/>
      <c r="X12" s="7">
        <f>X4+X6+X8+X10</f>
        <v>7263</v>
      </c>
      <c r="Y12" s="7"/>
      <c r="Z12" s="7">
        <f>Z4+Z6+Z8+Z10</f>
        <v>8418.000000000002</v>
      </c>
      <c r="AA12" s="7"/>
      <c r="AB12" s="7">
        <f>AB4+AB6+AB8+AB10</f>
        <v>8570</v>
      </c>
      <c r="AC12" s="7"/>
      <c r="AD12" s="7">
        <f>AD4+AD6+AD8+AD10</f>
        <v>10025.000000000002</v>
      </c>
      <c r="AE12" s="7"/>
      <c r="AF12" s="7">
        <f>AF4+AF6+AF8+AF10</f>
        <v>6764.000000000001</v>
      </c>
    </row>
    <row r="13" spans="1:32" ht="15">
      <c r="A13" s="28"/>
      <c r="B13" s="23"/>
      <c r="C13" s="35"/>
      <c r="D13" s="36"/>
      <c r="E13" s="37"/>
      <c r="F13" s="10"/>
      <c r="G13" s="6" t="s">
        <v>18</v>
      </c>
      <c r="H13" s="12">
        <f t="shared" si="0"/>
        <v>85225</v>
      </c>
      <c r="I13" s="12">
        <f t="shared" si="0"/>
        <v>86513</v>
      </c>
      <c r="J13" s="12">
        <f t="shared" si="0"/>
        <v>13701.012300000002</v>
      </c>
      <c r="K13" s="12">
        <f t="shared" si="0"/>
        <v>87573</v>
      </c>
      <c r="L13" s="12">
        <f aca="true" t="shared" si="1" ref="L13:AF13">L5+L7+L9+L11</f>
        <v>9258.188100000001</v>
      </c>
      <c r="M13" s="7"/>
      <c r="N13" s="12">
        <f t="shared" si="1"/>
        <v>7459.661700000001</v>
      </c>
      <c r="O13" s="7"/>
      <c r="P13" s="12">
        <f t="shared" si="1"/>
        <v>5380.2144</v>
      </c>
      <c r="Q13" s="7"/>
      <c r="R13" s="12">
        <f t="shared" si="1"/>
        <v>6448.9133999999995</v>
      </c>
      <c r="S13" s="7"/>
      <c r="T13" s="7">
        <f t="shared" si="1"/>
        <v>6457.9997</v>
      </c>
      <c r="U13" s="7"/>
      <c r="V13" s="21">
        <f t="shared" si="1"/>
        <v>7140.9998000000005</v>
      </c>
      <c r="W13" s="7"/>
      <c r="X13" s="7">
        <f t="shared" si="1"/>
        <v>6444</v>
      </c>
      <c r="Y13" s="7"/>
      <c r="Z13" s="7">
        <f t="shared" si="1"/>
        <v>8062.000000000001</v>
      </c>
      <c r="AA13" s="7"/>
      <c r="AB13" s="7">
        <f t="shared" si="1"/>
        <v>9188.000000000002</v>
      </c>
      <c r="AC13" s="7"/>
      <c r="AD13" s="7">
        <f t="shared" si="1"/>
        <v>8270</v>
      </c>
      <c r="AE13" s="7"/>
      <c r="AF13" s="7">
        <f t="shared" si="1"/>
        <v>6688.000000000001</v>
      </c>
    </row>
    <row r="14" spans="11:20" ht="15">
      <c r="K14" s="14"/>
      <c r="L14" s="14"/>
      <c r="M14" s="15"/>
      <c r="N14" s="16"/>
      <c r="O14" s="17"/>
      <c r="P14" s="16"/>
      <c r="Q14" s="16"/>
      <c r="R14" s="16"/>
      <c r="S14" s="14"/>
      <c r="T14" s="14"/>
    </row>
    <row r="15" spans="11:20" ht="15">
      <c r="K15" s="14"/>
      <c r="L15" s="14"/>
      <c r="M15" s="18"/>
      <c r="N15" s="14"/>
      <c r="O15" s="18"/>
      <c r="P15" s="14"/>
      <c r="Q15" s="14"/>
      <c r="R15" s="14"/>
      <c r="S15" s="14"/>
      <c r="T15" s="14"/>
    </row>
    <row r="16" spans="11:20" ht="15">
      <c r="K16" s="14"/>
      <c r="L16" s="14"/>
      <c r="M16" s="14"/>
      <c r="N16" s="14"/>
      <c r="O16" s="14"/>
      <c r="P16" s="19"/>
      <c r="Q16" s="14"/>
      <c r="R16" s="19"/>
      <c r="S16" s="14"/>
      <c r="T16" s="14"/>
    </row>
    <row r="17" spans="11:20" ht="15"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1:20" ht="15"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1:20" ht="15"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1:20" ht="15">
      <c r="K20" s="14"/>
      <c r="L20" s="14"/>
      <c r="M20" s="14"/>
      <c r="N20" s="14"/>
      <c r="O20" s="14"/>
      <c r="P20" s="14"/>
      <c r="Q20" s="14"/>
      <c r="R20" s="14"/>
      <c r="S20" s="14"/>
      <c r="T20" s="14"/>
    </row>
  </sheetData>
  <sheetProtection/>
  <mergeCells count="22">
    <mergeCell ref="D4:D5"/>
    <mergeCell ref="E4:E5"/>
    <mergeCell ref="F4:F5"/>
    <mergeCell ref="F6:F7"/>
    <mergeCell ref="F8:F9"/>
    <mergeCell ref="F10:F11"/>
    <mergeCell ref="C12:E13"/>
    <mergeCell ref="E10:E11"/>
    <mergeCell ref="E8:E9"/>
    <mergeCell ref="C6:C7"/>
    <mergeCell ref="D6:D7"/>
    <mergeCell ref="E6:E7"/>
    <mergeCell ref="C10:C11"/>
    <mergeCell ref="D8:D9"/>
    <mergeCell ref="D10:D11"/>
    <mergeCell ref="C4:C5"/>
    <mergeCell ref="B10:B11"/>
    <mergeCell ref="A4:A13"/>
    <mergeCell ref="C8:C9"/>
    <mergeCell ref="B4:B5"/>
    <mergeCell ref="B6:B7"/>
    <mergeCell ref="B8:B9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2016-01-19T07:34:53Z</cp:lastPrinted>
  <dcterms:created xsi:type="dcterms:W3CDTF">2012-08-09T05:07:11Z</dcterms:created>
  <dcterms:modified xsi:type="dcterms:W3CDTF">2016-02-01T07:01:26Z</dcterms:modified>
  <cp:category/>
  <cp:version/>
  <cp:contentType/>
  <cp:contentStatus/>
</cp:coreProperties>
</file>