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4235" windowHeight="7680"/>
  </bookViews>
  <sheets>
    <sheet name="справка о средн. пред. янв-д." sheetId="13" r:id="rId1"/>
  </sheets>
  <definedNames>
    <definedName name="_xlnm._FilterDatabase" localSheetId="0" hidden="1">'справка о средн. пред. янв-д.'!$A$10:$I$13</definedName>
    <definedName name="_xlnm.Print_Titles" localSheetId="0">'справка о средн. пред. янв-д.'!$A:$C</definedName>
    <definedName name="_xlnm.Print_Area" localSheetId="0">'справка о средн. пред. янв-д.'!$A$6:$I$13</definedName>
  </definedNames>
  <calcPr calcId="144525" refMode="R1C1"/>
</workbook>
</file>

<file path=xl/calcChain.xml><?xml version="1.0" encoding="utf-8"?>
<calcChain xmlns="http://schemas.openxmlformats.org/spreadsheetml/2006/main">
  <c r="M36" i="13" l="1"/>
  <c r="M35" i="13"/>
  <c r="M34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37" i="13" s="1"/>
  <c r="L36" i="13"/>
  <c r="L35" i="13"/>
  <c r="L34" i="13"/>
  <c r="L32" i="13"/>
  <c r="L31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J32" i="13"/>
  <c r="J36" i="13"/>
  <c r="J35" i="13"/>
  <c r="J34" i="13"/>
  <c r="J30" i="13"/>
  <c r="J31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14" i="13"/>
  <c r="I36" i="13"/>
  <c r="I35" i="13"/>
  <c r="I34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H36" i="13"/>
  <c r="H35" i="13"/>
  <c r="H34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F36" i="13"/>
  <c r="F35" i="13"/>
  <c r="F34" i="13"/>
  <c r="F32" i="13"/>
  <c r="F31" i="13"/>
  <c r="F30" i="13"/>
  <c r="F29" i="13"/>
  <c r="F28" i="13"/>
  <c r="F27" i="13"/>
  <c r="F26" i="13"/>
  <c r="F25" i="13"/>
  <c r="H11" i="13"/>
  <c r="I11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11" i="13"/>
  <c r="F11" i="13"/>
  <c r="N36" i="13"/>
  <c r="O36" i="13" s="1"/>
  <c r="N35" i="13"/>
  <c r="O35" i="13" s="1"/>
  <c r="N34" i="13"/>
  <c r="O34" i="13" s="1"/>
  <c r="N32" i="13"/>
  <c r="O32" i="13" s="1"/>
  <c r="N31" i="13"/>
  <c r="O31" i="13" s="1"/>
  <c r="N30" i="13"/>
  <c r="O30" i="13" s="1"/>
  <c r="N29" i="13"/>
  <c r="O29" i="13" s="1"/>
  <c r="N28" i="13"/>
  <c r="O28" i="13" s="1"/>
  <c r="N27" i="13"/>
  <c r="O27" i="13" s="1"/>
  <c r="N26" i="13"/>
  <c r="O26" i="13" s="1"/>
  <c r="N25" i="13"/>
  <c r="O25" i="13" s="1"/>
  <c r="N24" i="13"/>
  <c r="O24" i="13" s="1"/>
  <c r="N23" i="13"/>
  <c r="O23" i="13" s="1"/>
  <c r="N22" i="13"/>
  <c r="O22" i="13" s="1"/>
  <c r="N21" i="13"/>
  <c r="O21" i="13" s="1"/>
  <c r="N20" i="13"/>
  <c r="O20" i="13" s="1"/>
  <c r="N19" i="13"/>
  <c r="O19" i="13" s="1"/>
  <c r="N18" i="13"/>
  <c r="O18" i="13" s="1"/>
  <c r="N17" i="13"/>
  <c r="O17" i="13" s="1"/>
  <c r="N16" i="13"/>
  <c r="O16" i="13" s="1"/>
  <c r="N15" i="13"/>
  <c r="O15" i="13" s="1"/>
  <c r="N14" i="13"/>
  <c r="O14" i="13" s="1"/>
  <c r="N13" i="13"/>
  <c r="O13" i="13" s="1"/>
  <c r="N12" i="13"/>
  <c r="O12" i="13" s="1"/>
  <c r="N11" i="13"/>
  <c r="O11" i="13" s="1"/>
  <c r="N37" i="13"/>
  <c r="L37" i="13"/>
  <c r="K37" i="13"/>
  <c r="J37" i="13"/>
  <c r="F37" i="13"/>
  <c r="G37" i="13"/>
  <c r="H37" i="13"/>
  <c r="I37" i="13"/>
</calcChain>
</file>

<file path=xl/sharedStrings.xml><?xml version="1.0" encoding="utf-8"?>
<sst xmlns="http://schemas.openxmlformats.org/spreadsheetml/2006/main" count="112" uniqueCount="60">
  <si>
    <t xml:space="preserve">АДРЕС </t>
  </si>
  <si>
    <t>Объект учета</t>
  </si>
  <si>
    <t>код ТУ</t>
  </si>
  <si>
    <t>тонн</t>
  </si>
  <si>
    <t>Г.кал</t>
  </si>
  <si>
    <t>ГВС</t>
  </si>
  <si>
    <t>отопление</t>
  </si>
  <si>
    <t xml:space="preserve">Викулова </t>
  </si>
  <si>
    <t>ж/д</t>
  </si>
  <si>
    <t>0037</t>
  </si>
  <si>
    <t>0033</t>
  </si>
  <si>
    <t xml:space="preserve">Ухтомская </t>
  </si>
  <si>
    <t>0097</t>
  </si>
  <si>
    <t>Итого</t>
  </si>
  <si>
    <t>ЗАО УК "Микрорайон Волгоградский"</t>
  </si>
  <si>
    <t>Исп. Богдашева Л.Г.</t>
  </si>
  <si>
    <t xml:space="preserve"> в том числе:(Г.кал)</t>
  </si>
  <si>
    <t xml:space="preserve"> отопление Гкал</t>
  </si>
  <si>
    <t>Утверждаю:</t>
  </si>
  <si>
    <t>Директор</t>
  </si>
  <si>
    <t>Л.Б. Лисицына</t>
  </si>
  <si>
    <t>ЗАО "УК"Микрорайон Волгоградский"</t>
  </si>
  <si>
    <t>0041</t>
  </si>
  <si>
    <t>0039</t>
  </si>
  <si>
    <t xml:space="preserve">Викулова  </t>
  </si>
  <si>
    <t>0029</t>
  </si>
  <si>
    <t>0021</t>
  </si>
  <si>
    <t>0009</t>
  </si>
  <si>
    <t>0015</t>
  </si>
  <si>
    <t>0019</t>
  </si>
  <si>
    <t>0017</t>
  </si>
  <si>
    <t>Репина</t>
  </si>
  <si>
    <t>0073</t>
  </si>
  <si>
    <t xml:space="preserve">Репина  </t>
  </si>
  <si>
    <t>99 А</t>
  </si>
  <si>
    <t>0001</t>
  </si>
  <si>
    <t>0003</t>
  </si>
  <si>
    <t xml:space="preserve">Репина </t>
  </si>
  <si>
    <t>итп 1</t>
  </si>
  <si>
    <t>0061</t>
  </si>
  <si>
    <t>0059</t>
  </si>
  <si>
    <t>0113</t>
  </si>
  <si>
    <t>Металлургов</t>
  </si>
  <si>
    <t>16 Б</t>
  </si>
  <si>
    <t>0007</t>
  </si>
  <si>
    <t xml:space="preserve">Волгоградская </t>
  </si>
  <si>
    <t>0091</t>
  </si>
  <si>
    <t>0093</t>
  </si>
  <si>
    <t>0095</t>
  </si>
  <si>
    <t>0127</t>
  </si>
  <si>
    <t>Ухтомская</t>
  </si>
  <si>
    <t>0129</t>
  </si>
  <si>
    <t>Фактический объем с января по апрель, с октября по декабрь 2015г.</t>
  </si>
  <si>
    <t>Средняя по отоплению с января по апрель, с октября по декабрь 2015</t>
  </si>
  <si>
    <t xml:space="preserve">Справка о фактическом предъявлении по отоплению по жилым домам  2015г. </t>
  </si>
  <si>
    <t>Фактический объем по отоплению с января по апрель, с октября по декабрь 2015</t>
  </si>
  <si>
    <t>Главный бухгалтер:                           Ильенкова С. А.</t>
  </si>
  <si>
    <t>Фактический объем с января по март 2015г. согласно справки от 22.01.2016г.</t>
  </si>
  <si>
    <t>По нормативу (Гкал.)</t>
  </si>
  <si>
    <t xml:space="preserve"> отопление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</si>
</sst>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3" fontId="1" fillId="2" borderId="0" xfId="1" applyNumberFormat="1" applyFont="1" applyFill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3" fontId="1" fillId="2" borderId="7" xfId="1" applyFont="1" applyFill="1" applyBorder="1" applyAlignment="1">
      <alignment horizontal="center"/>
    </xf>
    <xf numFmtId="43" fontId="1" fillId="2" borderId="7" xfId="1" applyNumberFormat="1" applyFont="1" applyFill="1" applyBorder="1" applyAlignment="1">
      <alignment horizontal="center"/>
    </xf>
    <xf numFmtId="0" fontId="0" fillId="2" borderId="7" xfId="0" applyFont="1" applyFill="1" applyBorder="1"/>
    <xf numFmtId="0" fontId="0" fillId="2" borderId="7" xfId="0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3" fontId="1" fillId="2" borderId="7" xfId="1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3" fontId="2" fillId="2" borderId="7" xfId="1" applyNumberFormat="1" applyFont="1" applyFill="1" applyBorder="1" applyAlignment="1">
      <alignment horizontal="right"/>
    </xf>
    <xf numFmtId="43" fontId="1" fillId="2" borderId="7" xfId="1" applyFont="1" applyFill="1" applyBorder="1" applyAlignment="1">
      <alignment horizontal="center" vertical="center" wrapText="1"/>
    </xf>
    <xf numFmtId="43" fontId="1" fillId="0" borderId="0" xfId="1" applyFont="1"/>
    <xf numFmtId="43" fontId="1" fillId="3" borderId="7" xfId="1" applyFont="1" applyFill="1" applyBorder="1" applyAlignment="1">
      <alignment horizontal="center"/>
    </xf>
    <xf numFmtId="0" fontId="4" fillId="0" borderId="0" xfId="0" applyFont="1"/>
    <xf numFmtId="43" fontId="5" fillId="2" borderId="0" xfId="1" applyFont="1" applyFill="1" applyBorder="1" applyAlignment="1">
      <alignment wrapText="1"/>
    </xf>
    <xf numFmtId="0" fontId="0" fillId="0" borderId="0" xfId="0" applyAlignment="1"/>
    <xf numFmtId="43" fontId="5" fillId="2" borderId="0" xfId="1" applyFont="1" applyFill="1" applyBorder="1" applyAlignment="1"/>
    <xf numFmtId="43" fontId="6" fillId="2" borderId="7" xfId="1" applyFont="1" applyFill="1" applyBorder="1" applyAlignment="1">
      <alignment horizontal="center"/>
    </xf>
    <xf numFmtId="164" fontId="2" fillId="2" borderId="7" xfId="1" applyNumberFormat="1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43" fontId="1" fillId="4" borderId="10" xfId="1" applyNumberFormat="1" applyFont="1" applyFill="1" applyBorder="1" applyAlignment="1">
      <alignment horizontal="center" vertical="center" wrapText="1"/>
    </xf>
    <xf numFmtId="43" fontId="1" fillId="4" borderId="11" xfId="1" applyNumberFormat="1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horizontal="center"/>
    </xf>
    <xf numFmtId="43" fontId="1" fillId="2" borderId="11" xfId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115" zoomScaleNormal="115" workbookViewId="0">
      <pane xSplit="5" ySplit="13" topLeftCell="F43" activePane="bottomRight" state="frozen"/>
      <selection pane="topRight" activeCell="G1" sqref="G1"/>
      <selection pane="bottomLeft" activeCell="A12" sqref="A12"/>
      <selection pane="bottomRight" activeCell="F44" sqref="F44:I44"/>
    </sheetView>
  </sheetViews>
  <sheetFormatPr defaultRowHeight="12.75" x14ac:dyDescent="0.2"/>
  <cols>
    <col min="1" max="1" width="15.42578125" style="1" customWidth="1"/>
    <col min="2" max="2" width="6.140625" style="1" customWidth="1"/>
    <col min="3" max="3" width="4.85546875" style="3" customWidth="1"/>
    <col min="4" max="4" width="6" style="3" customWidth="1"/>
    <col min="5" max="5" width="7" style="4" customWidth="1"/>
    <col min="6" max="6" width="13.5703125" style="5" customWidth="1"/>
    <col min="7" max="7" width="12.7109375" style="5" customWidth="1"/>
    <col min="8" max="8" width="11.85546875" style="23" customWidth="1"/>
    <col min="9" max="9" width="12.85546875" style="23" customWidth="1"/>
    <col min="10" max="10" width="12.42578125" style="23" customWidth="1"/>
    <col min="11" max="11" width="12.28515625" style="23" customWidth="1"/>
    <col min="12" max="12" width="11.140625" style="23" customWidth="1"/>
    <col min="13" max="13" width="13.140625" style="23" customWidth="1"/>
    <col min="14" max="14" width="14.42578125" style="23" customWidth="1"/>
    <col min="15" max="15" width="14.140625" customWidth="1"/>
    <col min="16" max="16" width="11.28515625" customWidth="1"/>
  </cols>
  <sheetData>
    <row r="1" spans="1:16" x14ac:dyDescent="0.2">
      <c r="I1" s="26"/>
      <c r="J1" s="26"/>
      <c r="K1" s="26"/>
      <c r="L1" s="26"/>
      <c r="M1" s="26" t="s">
        <v>18</v>
      </c>
      <c r="N1" s="26"/>
      <c r="O1" s="1"/>
      <c r="P1" s="3"/>
    </row>
    <row r="2" spans="1:16" x14ac:dyDescent="0.2">
      <c r="I2" s="26"/>
      <c r="J2" s="26"/>
      <c r="K2" s="26"/>
      <c r="L2" s="26"/>
      <c r="M2" s="26" t="s">
        <v>19</v>
      </c>
      <c r="N2" s="26"/>
      <c r="O2" s="1"/>
      <c r="P2" s="3"/>
    </row>
    <row r="3" spans="1:16" ht="14.25" customHeight="1" x14ac:dyDescent="0.2">
      <c r="I3" s="26"/>
      <c r="J3" s="26"/>
      <c r="K3" s="26"/>
      <c r="L3" s="26"/>
      <c r="M3" s="28" t="s">
        <v>21</v>
      </c>
      <c r="N3" s="26"/>
      <c r="O3" s="27"/>
      <c r="P3" s="27"/>
    </row>
    <row r="4" spans="1:16" x14ac:dyDescent="0.2">
      <c r="I4" s="28"/>
      <c r="J4" s="26"/>
      <c r="K4" s="26"/>
      <c r="L4" s="26"/>
      <c r="M4" s="28" t="s">
        <v>20</v>
      </c>
      <c r="N4" s="26"/>
      <c r="O4" s="1"/>
      <c r="P4" s="3"/>
    </row>
    <row r="6" spans="1:16" ht="15.75" x14ac:dyDescent="0.25">
      <c r="B6" s="25" t="s">
        <v>54</v>
      </c>
    </row>
    <row r="7" spans="1:16" x14ac:dyDescent="0.2">
      <c r="A7" t="s">
        <v>14</v>
      </c>
      <c r="B7" s="2"/>
    </row>
    <row r="8" spans="1:16" x14ac:dyDescent="0.2">
      <c r="A8"/>
      <c r="B8" s="2"/>
    </row>
    <row r="9" spans="1:16" ht="93.75" customHeight="1" x14ac:dyDescent="0.2">
      <c r="A9" s="6" t="s">
        <v>0</v>
      </c>
      <c r="B9" s="7"/>
      <c r="C9" s="8"/>
      <c r="D9" s="34" t="s">
        <v>1</v>
      </c>
      <c r="E9" s="36" t="s">
        <v>2</v>
      </c>
      <c r="F9" s="38" t="s">
        <v>52</v>
      </c>
      <c r="G9" s="39"/>
      <c r="H9" s="40" t="s">
        <v>16</v>
      </c>
      <c r="I9" s="41"/>
      <c r="J9" s="38" t="s">
        <v>57</v>
      </c>
      <c r="K9" s="39"/>
      <c r="L9" s="40" t="s">
        <v>16</v>
      </c>
      <c r="M9" s="41"/>
      <c r="N9" s="22" t="s">
        <v>55</v>
      </c>
      <c r="O9" s="22" t="s">
        <v>53</v>
      </c>
      <c r="P9" s="22" t="s">
        <v>58</v>
      </c>
    </row>
    <row r="10" spans="1:16" x14ac:dyDescent="0.2">
      <c r="A10" s="9"/>
      <c r="B10" s="10"/>
      <c r="C10" s="11"/>
      <c r="D10" s="35"/>
      <c r="E10" s="37"/>
      <c r="F10" s="13" t="s">
        <v>3</v>
      </c>
      <c r="G10" s="13" t="s">
        <v>4</v>
      </c>
      <c r="H10" s="12" t="s">
        <v>5</v>
      </c>
      <c r="I10" s="24" t="s">
        <v>6</v>
      </c>
      <c r="J10" s="13" t="s">
        <v>3</v>
      </c>
      <c r="K10" s="13" t="s">
        <v>4</v>
      </c>
      <c r="L10" s="12" t="s">
        <v>5</v>
      </c>
      <c r="M10" s="24" t="s">
        <v>6</v>
      </c>
      <c r="N10" s="24" t="s">
        <v>6</v>
      </c>
      <c r="O10" s="29" t="s">
        <v>17</v>
      </c>
      <c r="P10" s="29" t="s">
        <v>59</v>
      </c>
    </row>
    <row r="11" spans="1:16" x14ac:dyDescent="0.2">
      <c r="A11" s="14" t="s">
        <v>7</v>
      </c>
      <c r="B11" s="15">
        <v>55</v>
      </c>
      <c r="C11" s="15"/>
      <c r="D11" s="15" t="s">
        <v>8</v>
      </c>
      <c r="E11" s="16" t="s">
        <v>9</v>
      </c>
      <c r="F11" s="17">
        <f>10051.84</f>
        <v>10051.84</v>
      </c>
      <c r="G11" s="17">
        <f>H11+I11</f>
        <v>3015.02</v>
      </c>
      <c r="H11" s="17">
        <f>904.06</f>
        <v>904.06</v>
      </c>
      <c r="I11" s="17">
        <f>2110.96</f>
        <v>2110.96</v>
      </c>
      <c r="J11" s="17"/>
      <c r="K11" s="17"/>
      <c r="L11" s="17"/>
      <c r="M11" s="17"/>
      <c r="N11" s="17">
        <f>I11+M11</f>
        <v>2110.96</v>
      </c>
      <c r="O11" s="30">
        <f>N11/7/11668.44</f>
        <v>2.5844561422582134E-2</v>
      </c>
      <c r="P11" s="30">
        <v>0</v>
      </c>
    </row>
    <row r="12" spans="1:16" x14ac:dyDescent="0.2">
      <c r="A12" s="14" t="s">
        <v>7</v>
      </c>
      <c r="B12" s="15">
        <v>65</v>
      </c>
      <c r="C12" s="15"/>
      <c r="D12" s="15" t="s">
        <v>8</v>
      </c>
      <c r="E12" s="16" t="s">
        <v>10</v>
      </c>
      <c r="F12" s="17">
        <f>8995.29</f>
        <v>8995.2900000000009</v>
      </c>
      <c r="G12" s="17">
        <f t="shared" ref="G12:G36" si="0">H12+I12</f>
        <v>3027.0299999999997</v>
      </c>
      <c r="H12" s="17">
        <f>799.47</f>
        <v>799.47</v>
      </c>
      <c r="I12" s="17">
        <f>2227.56</f>
        <v>2227.56</v>
      </c>
      <c r="J12" s="17"/>
      <c r="K12" s="17"/>
      <c r="L12" s="17"/>
      <c r="M12" s="17"/>
      <c r="N12" s="17">
        <f t="shared" ref="N12:N36" si="1">I12+M12</f>
        <v>2227.56</v>
      </c>
      <c r="O12" s="30">
        <f>N12/7/12564.5</f>
        <v>2.5327140526312797E-2</v>
      </c>
      <c r="P12" s="30">
        <v>0</v>
      </c>
    </row>
    <row r="13" spans="1:16" x14ac:dyDescent="0.2">
      <c r="A13" s="14" t="s">
        <v>11</v>
      </c>
      <c r="B13" s="15">
        <v>41</v>
      </c>
      <c r="C13" s="15"/>
      <c r="D13" s="15" t="s">
        <v>8</v>
      </c>
      <c r="E13" s="16" t="s">
        <v>12</v>
      </c>
      <c r="F13" s="17">
        <f>4992.78</f>
        <v>4992.78</v>
      </c>
      <c r="G13" s="17">
        <f t="shared" si="0"/>
        <v>1075.71</v>
      </c>
      <c r="H13" s="17">
        <f>290.97</f>
        <v>290.97000000000003</v>
      </c>
      <c r="I13" s="17">
        <f>784.74</f>
        <v>784.74</v>
      </c>
      <c r="J13" s="17"/>
      <c r="K13" s="17"/>
      <c r="L13" s="17"/>
      <c r="M13" s="17"/>
      <c r="N13" s="17">
        <f t="shared" si="1"/>
        <v>784.74</v>
      </c>
      <c r="O13" s="30">
        <f>N13/7/6594</f>
        <v>1.7001169894709477E-2</v>
      </c>
      <c r="P13" s="30">
        <v>0</v>
      </c>
    </row>
    <row r="14" spans="1:16" x14ac:dyDescent="0.2">
      <c r="A14" s="14" t="s">
        <v>7</v>
      </c>
      <c r="B14" s="15">
        <v>61</v>
      </c>
      <c r="C14" s="15">
        <v>1</v>
      </c>
      <c r="D14" s="15" t="s">
        <v>8</v>
      </c>
      <c r="E14" s="16" t="s">
        <v>9</v>
      </c>
      <c r="F14" s="17">
        <f>2010.7</f>
        <v>2010.7</v>
      </c>
      <c r="G14" s="17">
        <f t="shared" si="0"/>
        <v>626.79999999999995</v>
      </c>
      <c r="H14" s="17">
        <f>145.14</f>
        <v>145.13999999999999</v>
      </c>
      <c r="I14" s="17">
        <f>481.66</f>
        <v>481.66</v>
      </c>
      <c r="J14" s="17">
        <f>1507.1</f>
        <v>1507.1</v>
      </c>
      <c r="K14" s="17">
        <f>L14+M14</f>
        <v>500.11</v>
      </c>
      <c r="L14" s="17">
        <f>112.17</f>
        <v>112.17</v>
      </c>
      <c r="M14" s="17">
        <f>387.94</f>
        <v>387.94</v>
      </c>
      <c r="N14" s="17">
        <f t="shared" si="1"/>
        <v>869.6</v>
      </c>
      <c r="O14" s="30">
        <f>N14/7/5903.94</f>
        <v>2.1041638537751303E-2</v>
      </c>
      <c r="P14" s="30">
        <v>0</v>
      </c>
    </row>
    <row r="15" spans="1:16" x14ac:dyDescent="0.2">
      <c r="A15" s="14" t="s">
        <v>7</v>
      </c>
      <c r="B15" s="15">
        <v>61</v>
      </c>
      <c r="C15" s="15">
        <v>2</v>
      </c>
      <c r="D15" s="15" t="s">
        <v>8</v>
      </c>
      <c r="E15" s="16" t="s">
        <v>10</v>
      </c>
      <c r="F15" s="17">
        <f>3019.09</f>
        <v>3019.09</v>
      </c>
      <c r="G15" s="17">
        <f t="shared" si="0"/>
        <v>853.22</v>
      </c>
      <c r="H15" s="17">
        <f>253.05</f>
        <v>253.05</v>
      </c>
      <c r="I15" s="17">
        <f>600.17</f>
        <v>600.16999999999996</v>
      </c>
      <c r="J15" s="17">
        <f>2297.94</f>
        <v>2297.94</v>
      </c>
      <c r="K15" s="17">
        <f t="shared" ref="K15:K36" si="2">L15+M15</f>
        <v>697.03</v>
      </c>
      <c r="L15" s="17">
        <f>191</f>
        <v>191</v>
      </c>
      <c r="M15" s="17">
        <f>506.03</f>
        <v>506.03</v>
      </c>
      <c r="N15" s="17">
        <f t="shared" si="1"/>
        <v>1106.1999999999998</v>
      </c>
      <c r="O15" s="30">
        <f>N15/7/7448.27</f>
        <v>2.1216815640218656E-2</v>
      </c>
      <c r="P15" s="30">
        <v>0</v>
      </c>
    </row>
    <row r="16" spans="1:16" x14ac:dyDescent="0.2">
      <c r="A16" s="14" t="s">
        <v>7</v>
      </c>
      <c r="B16" s="15">
        <v>61</v>
      </c>
      <c r="C16" s="15">
        <v>3</v>
      </c>
      <c r="D16" s="15" t="s">
        <v>8</v>
      </c>
      <c r="E16" s="16" t="s">
        <v>22</v>
      </c>
      <c r="F16" s="17">
        <f>856.31</f>
        <v>856.31</v>
      </c>
      <c r="G16" s="17">
        <f t="shared" si="0"/>
        <v>295.21000000000004</v>
      </c>
      <c r="H16" s="17">
        <f>78.75</f>
        <v>78.75</v>
      </c>
      <c r="I16" s="17">
        <f>216.46</f>
        <v>216.46</v>
      </c>
      <c r="J16" s="17">
        <f>599.17</f>
        <v>599.16999999999996</v>
      </c>
      <c r="K16" s="17">
        <f t="shared" si="2"/>
        <v>240.03</v>
      </c>
      <c r="L16" s="17">
        <f>58.71</f>
        <v>58.71</v>
      </c>
      <c r="M16" s="17">
        <f>181.32</f>
        <v>181.32</v>
      </c>
      <c r="N16" s="17">
        <f t="shared" si="1"/>
        <v>397.78</v>
      </c>
      <c r="O16" s="30">
        <f>N16/7/3271.7</f>
        <v>1.736886459202075E-2</v>
      </c>
      <c r="P16" s="30">
        <v>0</v>
      </c>
    </row>
    <row r="17" spans="1:16" x14ac:dyDescent="0.2">
      <c r="A17" s="14" t="s">
        <v>7</v>
      </c>
      <c r="B17" s="15">
        <v>61</v>
      </c>
      <c r="C17" s="15">
        <v>4</v>
      </c>
      <c r="D17" s="15" t="s">
        <v>8</v>
      </c>
      <c r="E17" s="16" t="s">
        <v>23</v>
      </c>
      <c r="F17" s="17">
        <f>2954.01</f>
        <v>2954.01</v>
      </c>
      <c r="G17" s="17">
        <f t="shared" si="0"/>
        <v>650.05999999999995</v>
      </c>
      <c r="H17" s="17">
        <f>219.39</f>
        <v>219.39</v>
      </c>
      <c r="I17" s="17">
        <f>430.67</f>
        <v>430.67</v>
      </c>
      <c r="J17" s="17">
        <f>2446.07</f>
        <v>2446.0700000000002</v>
      </c>
      <c r="K17" s="17">
        <f t="shared" si="2"/>
        <v>654.41999999999996</v>
      </c>
      <c r="L17" s="17">
        <f>163.77</f>
        <v>163.77000000000001</v>
      </c>
      <c r="M17" s="17">
        <f>490.65</f>
        <v>490.65</v>
      </c>
      <c r="N17" s="17">
        <f t="shared" si="1"/>
        <v>921.31999999999994</v>
      </c>
      <c r="O17" s="30">
        <f>N17/7/7399.18</f>
        <v>1.7788071496725698E-2</v>
      </c>
      <c r="P17" s="30">
        <v>0</v>
      </c>
    </row>
    <row r="18" spans="1:16" x14ac:dyDescent="0.2">
      <c r="A18" s="14" t="s">
        <v>24</v>
      </c>
      <c r="B18" s="15">
        <v>57</v>
      </c>
      <c r="C18" s="15"/>
      <c r="D18" s="15" t="s">
        <v>8</v>
      </c>
      <c r="E18" s="16" t="s">
        <v>25</v>
      </c>
      <c r="F18" s="17">
        <f>3131.78</f>
        <v>3131.78</v>
      </c>
      <c r="G18" s="17">
        <f t="shared" si="0"/>
        <v>1428.6699999999998</v>
      </c>
      <c r="H18" s="17">
        <f>334.55</f>
        <v>334.55</v>
      </c>
      <c r="I18" s="17">
        <f>1094.12</f>
        <v>1094.1199999999999</v>
      </c>
      <c r="J18" s="17">
        <f>2427.57</f>
        <v>2427.5700000000002</v>
      </c>
      <c r="K18" s="17">
        <f t="shared" si="2"/>
        <v>1158.07</v>
      </c>
      <c r="L18" s="17">
        <f>249.42</f>
        <v>249.42</v>
      </c>
      <c r="M18" s="17">
        <f>908.65</f>
        <v>908.65</v>
      </c>
      <c r="N18" s="17">
        <f t="shared" si="1"/>
        <v>2002.77</v>
      </c>
      <c r="O18" s="30">
        <f>N18/7/9981.6</f>
        <v>2.8663741283962492E-2</v>
      </c>
      <c r="P18" s="30">
        <v>0</v>
      </c>
    </row>
    <row r="19" spans="1:16" x14ac:dyDescent="0.2">
      <c r="A19" s="14" t="s">
        <v>7</v>
      </c>
      <c r="B19" s="15">
        <v>63</v>
      </c>
      <c r="C19" s="15">
        <v>1</v>
      </c>
      <c r="D19" s="15" t="s">
        <v>8</v>
      </c>
      <c r="E19" s="16" t="s">
        <v>26</v>
      </c>
      <c r="F19" s="17">
        <f>2027.55</f>
        <v>2027.55</v>
      </c>
      <c r="G19" s="17">
        <f t="shared" si="0"/>
        <v>676.57</v>
      </c>
      <c r="H19" s="17">
        <f>177.59</f>
        <v>177.59</v>
      </c>
      <c r="I19" s="17">
        <f>498.98</f>
        <v>498.98</v>
      </c>
      <c r="J19" s="17">
        <f>1497.8</f>
        <v>1497.8</v>
      </c>
      <c r="K19" s="17">
        <f t="shared" si="2"/>
        <v>534.27</v>
      </c>
      <c r="L19" s="17">
        <f>133.6</f>
        <v>133.6</v>
      </c>
      <c r="M19" s="17">
        <f>400.67</f>
        <v>400.67</v>
      </c>
      <c r="N19" s="17">
        <f t="shared" si="1"/>
        <v>899.65000000000009</v>
      </c>
      <c r="O19" s="30">
        <f>N19/7/6759.5</f>
        <v>1.9013451967072797E-2</v>
      </c>
      <c r="P19" s="30">
        <v>0</v>
      </c>
    </row>
    <row r="20" spans="1:16" x14ac:dyDescent="0.2">
      <c r="A20" s="14" t="s">
        <v>7</v>
      </c>
      <c r="B20" s="15">
        <v>63</v>
      </c>
      <c r="C20" s="15">
        <v>2</v>
      </c>
      <c r="D20" s="15" t="s">
        <v>8</v>
      </c>
      <c r="E20" s="16" t="s">
        <v>27</v>
      </c>
      <c r="F20" s="17">
        <f>3230.5</f>
        <v>3230.5</v>
      </c>
      <c r="G20" s="17">
        <f t="shared" si="0"/>
        <v>1068.01</v>
      </c>
      <c r="H20" s="17">
        <f>295.09</f>
        <v>295.08999999999997</v>
      </c>
      <c r="I20" s="17">
        <f>772.92</f>
        <v>772.92</v>
      </c>
      <c r="J20" s="17">
        <f>2444.54</f>
        <v>2444.54</v>
      </c>
      <c r="K20" s="17">
        <f t="shared" si="2"/>
        <v>864.74</v>
      </c>
      <c r="L20" s="17">
        <f>225.45</f>
        <v>225.45</v>
      </c>
      <c r="M20" s="17">
        <f>639.29</f>
        <v>639.29</v>
      </c>
      <c r="N20" s="17">
        <f t="shared" si="1"/>
        <v>1412.21</v>
      </c>
      <c r="O20" s="30">
        <f>N20/7/9045.4</f>
        <v>2.2303522864028757E-2</v>
      </c>
      <c r="P20" s="30">
        <v>0</v>
      </c>
    </row>
    <row r="21" spans="1:16" x14ac:dyDescent="0.2">
      <c r="A21" s="14" t="s">
        <v>7</v>
      </c>
      <c r="B21" s="15">
        <v>63</v>
      </c>
      <c r="C21" s="15">
        <v>3</v>
      </c>
      <c r="D21" s="15" t="s">
        <v>8</v>
      </c>
      <c r="E21" s="16" t="s">
        <v>28</v>
      </c>
      <c r="F21" s="17">
        <f>3393.15</f>
        <v>3393.15</v>
      </c>
      <c r="G21" s="17">
        <f t="shared" si="0"/>
        <v>945.82999999999993</v>
      </c>
      <c r="H21" s="17">
        <f>243.53</f>
        <v>243.53</v>
      </c>
      <c r="I21" s="17">
        <f>702.3</f>
        <v>702.3</v>
      </c>
      <c r="J21" s="17">
        <f>2501.72</f>
        <v>2501.7199999999998</v>
      </c>
      <c r="K21" s="17">
        <f t="shared" si="2"/>
        <v>541.04</v>
      </c>
      <c r="L21" s="17">
        <f>222.52</f>
        <v>222.52</v>
      </c>
      <c r="M21" s="17">
        <f>318.52</f>
        <v>318.52</v>
      </c>
      <c r="N21" s="17">
        <f t="shared" si="1"/>
        <v>1020.8199999999999</v>
      </c>
      <c r="O21" s="30">
        <f>N21/7/7616.9</f>
        <v>1.9145771714401998E-2</v>
      </c>
      <c r="P21" s="30">
        <v>0</v>
      </c>
    </row>
    <row r="22" spans="1:16" x14ac:dyDescent="0.2">
      <c r="A22" s="14" t="s">
        <v>7</v>
      </c>
      <c r="B22" s="15">
        <v>63</v>
      </c>
      <c r="C22" s="15">
        <v>4</v>
      </c>
      <c r="D22" s="15" t="s">
        <v>8</v>
      </c>
      <c r="E22" s="16" t="s">
        <v>29</v>
      </c>
      <c r="F22" s="17">
        <f>1022.15</f>
        <v>1022.15</v>
      </c>
      <c r="G22" s="17">
        <f t="shared" si="0"/>
        <v>294.54000000000002</v>
      </c>
      <c r="H22" s="17">
        <f>84.68</f>
        <v>84.68</v>
      </c>
      <c r="I22" s="17">
        <f>209.86</f>
        <v>209.86</v>
      </c>
      <c r="J22" s="17">
        <f>954.36</f>
        <v>954.36</v>
      </c>
      <c r="K22" s="17">
        <f t="shared" si="2"/>
        <v>367.95</v>
      </c>
      <c r="L22" s="17">
        <f>45.63</f>
        <v>45.63</v>
      </c>
      <c r="M22" s="17">
        <f>322.32</f>
        <v>322.32</v>
      </c>
      <c r="N22" s="17">
        <f t="shared" si="1"/>
        <v>532.18000000000006</v>
      </c>
      <c r="O22" s="30">
        <f>N22/7/3254.2</f>
        <v>2.3362336145815961E-2</v>
      </c>
      <c r="P22" s="30">
        <v>0</v>
      </c>
    </row>
    <row r="23" spans="1:16" x14ac:dyDescent="0.2">
      <c r="A23" s="14" t="s">
        <v>7</v>
      </c>
      <c r="B23" s="15">
        <v>63</v>
      </c>
      <c r="C23" s="15">
        <v>5</v>
      </c>
      <c r="D23" s="15" t="s">
        <v>8</v>
      </c>
      <c r="E23" s="16" t="s">
        <v>30</v>
      </c>
      <c r="F23" s="17">
        <f>845.61</f>
        <v>845.61</v>
      </c>
      <c r="G23" s="17">
        <f t="shared" si="0"/>
        <v>286.92</v>
      </c>
      <c r="H23" s="17">
        <f>78.7</f>
        <v>78.7</v>
      </c>
      <c r="I23" s="17">
        <f>208.22</f>
        <v>208.22</v>
      </c>
      <c r="J23" s="17">
        <f>622.08</f>
        <v>622.08000000000004</v>
      </c>
      <c r="K23" s="17">
        <f t="shared" si="2"/>
        <v>233.86999999999998</v>
      </c>
      <c r="L23" s="17">
        <f>62.23</f>
        <v>62.23</v>
      </c>
      <c r="M23" s="17">
        <f>171.64</f>
        <v>171.64</v>
      </c>
      <c r="N23" s="17">
        <f t="shared" si="1"/>
        <v>379.86</v>
      </c>
      <c r="O23" s="30">
        <f>N23/7/2569.4</f>
        <v>2.1119994662455937E-2</v>
      </c>
      <c r="P23" s="30">
        <v>0</v>
      </c>
    </row>
    <row r="24" spans="1:16" x14ac:dyDescent="0.2">
      <c r="A24" s="14" t="s">
        <v>31</v>
      </c>
      <c r="B24" s="15">
        <v>99</v>
      </c>
      <c r="C24" s="15"/>
      <c r="D24" s="15" t="s">
        <v>8</v>
      </c>
      <c r="E24" s="16" t="s">
        <v>32</v>
      </c>
      <c r="F24" s="17">
        <v>2880.24</v>
      </c>
      <c r="G24" s="17">
        <f t="shared" si="0"/>
        <v>899.02</v>
      </c>
      <c r="H24" s="17">
        <f>257.62</f>
        <v>257.62</v>
      </c>
      <c r="I24" s="17">
        <f>641.4</f>
        <v>641.4</v>
      </c>
      <c r="J24" s="17">
        <f>3330.88</f>
        <v>3330.88</v>
      </c>
      <c r="K24" s="17">
        <f t="shared" si="2"/>
        <v>881.92000000000007</v>
      </c>
      <c r="L24" s="17">
        <f>159.19</f>
        <v>159.19</v>
      </c>
      <c r="M24" s="17">
        <f>722.73</f>
        <v>722.73</v>
      </c>
      <c r="N24" s="17">
        <f t="shared" si="1"/>
        <v>1364.13</v>
      </c>
      <c r="O24" s="30">
        <f>N24/7/7299.4</f>
        <v>2.6697497641684841E-2</v>
      </c>
      <c r="P24" s="30">
        <v>0</v>
      </c>
    </row>
    <row r="25" spans="1:16" x14ac:dyDescent="0.2">
      <c r="A25" s="14" t="s">
        <v>33</v>
      </c>
      <c r="B25" s="15" t="s">
        <v>34</v>
      </c>
      <c r="C25" s="15"/>
      <c r="D25" s="15" t="s">
        <v>8</v>
      </c>
      <c r="E25" s="16" t="s">
        <v>35</v>
      </c>
      <c r="F25" s="17">
        <f>2381.35</f>
        <v>2381.35</v>
      </c>
      <c r="G25" s="17">
        <f t="shared" si="0"/>
        <v>634.82999999999993</v>
      </c>
      <c r="H25" s="17">
        <f>221.12</f>
        <v>221.12</v>
      </c>
      <c r="I25" s="17">
        <f>413.71</f>
        <v>413.71</v>
      </c>
      <c r="J25" s="17">
        <f>1713.19</f>
        <v>1713.19</v>
      </c>
      <c r="K25" s="17">
        <f t="shared" si="2"/>
        <v>477.58000000000004</v>
      </c>
      <c r="L25" s="17">
        <f>160.23</f>
        <v>160.22999999999999</v>
      </c>
      <c r="M25" s="17">
        <f>317.35</f>
        <v>317.35000000000002</v>
      </c>
      <c r="N25" s="17">
        <f t="shared" si="1"/>
        <v>731.06</v>
      </c>
      <c r="O25" s="30">
        <f>N25/7/6565.3</f>
        <v>1.5907444116360692E-2</v>
      </c>
      <c r="P25" s="30">
        <v>0</v>
      </c>
    </row>
    <row r="26" spans="1:16" x14ac:dyDescent="0.2">
      <c r="A26" s="14" t="s">
        <v>33</v>
      </c>
      <c r="B26" s="15">
        <v>101</v>
      </c>
      <c r="C26" s="15"/>
      <c r="D26" s="15" t="s">
        <v>8</v>
      </c>
      <c r="E26" s="16" t="s">
        <v>36</v>
      </c>
      <c r="F26" s="17">
        <f>4607.02</f>
        <v>4607.0200000000004</v>
      </c>
      <c r="G26" s="17">
        <f t="shared" si="0"/>
        <v>1055.02</v>
      </c>
      <c r="H26" s="17">
        <f>383.59</f>
        <v>383.59</v>
      </c>
      <c r="I26" s="17">
        <f>671.43</f>
        <v>671.43</v>
      </c>
      <c r="J26" s="17">
        <f>2836.74</f>
        <v>2836.74</v>
      </c>
      <c r="K26" s="17">
        <f t="shared" si="2"/>
        <v>778.07</v>
      </c>
      <c r="L26" s="17">
        <f>252.23</f>
        <v>252.23</v>
      </c>
      <c r="M26" s="17">
        <f>525.84</f>
        <v>525.84</v>
      </c>
      <c r="N26" s="17">
        <f t="shared" si="1"/>
        <v>1197.27</v>
      </c>
      <c r="O26" s="30">
        <f>N26/7/9561</f>
        <v>1.788919270249675E-2</v>
      </c>
      <c r="P26" s="30">
        <v>0</v>
      </c>
    </row>
    <row r="27" spans="1:16" x14ac:dyDescent="0.2">
      <c r="A27" s="14" t="s">
        <v>37</v>
      </c>
      <c r="B27" s="15">
        <v>78</v>
      </c>
      <c r="C27" s="15" t="s">
        <v>38</v>
      </c>
      <c r="D27" s="15" t="s">
        <v>8</v>
      </c>
      <c r="E27" s="16" t="s">
        <v>39</v>
      </c>
      <c r="F27" s="17">
        <f>4780.04</f>
        <v>4780.04</v>
      </c>
      <c r="G27" s="17">
        <f t="shared" si="0"/>
        <v>1115.07</v>
      </c>
      <c r="H27" s="17">
        <f>392.83</f>
        <v>392.83</v>
      </c>
      <c r="I27" s="17">
        <f>722.24</f>
        <v>722.24</v>
      </c>
      <c r="J27" s="17">
        <f>3346.95</f>
        <v>3346.95</v>
      </c>
      <c r="K27" s="17">
        <f t="shared" si="2"/>
        <v>1097.0700000000002</v>
      </c>
      <c r="L27" s="17">
        <f>335.37</f>
        <v>335.37</v>
      </c>
      <c r="M27" s="17">
        <f>761.7</f>
        <v>761.7</v>
      </c>
      <c r="N27" s="17">
        <f t="shared" si="1"/>
        <v>1483.94</v>
      </c>
      <c r="O27" s="30">
        <f>N27/7/14564.2</f>
        <v>1.4555652117619132E-2</v>
      </c>
      <c r="P27" s="30">
        <v>0</v>
      </c>
    </row>
    <row r="28" spans="1:16" x14ac:dyDescent="0.2">
      <c r="A28" s="14" t="s">
        <v>33</v>
      </c>
      <c r="B28" s="15">
        <v>80</v>
      </c>
      <c r="C28" s="15" t="s">
        <v>38</v>
      </c>
      <c r="D28" s="15" t="s">
        <v>8</v>
      </c>
      <c r="E28" s="16" t="s">
        <v>40</v>
      </c>
      <c r="F28" s="17">
        <f>4120.48</f>
        <v>4120.4799999999996</v>
      </c>
      <c r="G28" s="17">
        <f t="shared" si="0"/>
        <v>1187.0899999999999</v>
      </c>
      <c r="H28" s="17">
        <f>370.8</f>
        <v>370.8</v>
      </c>
      <c r="I28" s="17">
        <f>816.29</f>
        <v>816.29</v>
      </c>
      <c r="J28" s="17">
        <f>3269.2</f>
        <v>3269.2</v>
      </c>
      <c r="K28" s="17">
        <f t="shared" si="2"/>
        <v>1018.8399999999999</v>
      </c>
      <c r="L28" s="17">
        <f>283.84</f>
        <v>283.83999999999997</v>
      </c>
      <c r="M28" s="17">
        <f>735</f>
        <v>735</v>
      </c>
      <c r="N28" s="17">
        <f t="shared" si="1"/>
        <v>1551.29</v>
      </c>
      <c r="O28" s="30">
        <f>N28/7/13311</f>
        <v>1.6648851111325757E-2</v>
      </c>
      <c r="P28" s="30">
        <v>0</v>
      </c>
    </row>
    <row r="29" spans="1:16" x14ac:dyDescent="0.2">
      <c r="A29" s="14" t="s">
        <v>37</v>
      </c>
      <c r="B29" s="15">
        <v>97</v>
      </c>
      <c r="C29" s="15"/>
      <c r="D29" s="15" t="s">
        <v>8</v>
      </c>
      <c r="E29" s="16" t="s">
        <v>41</v>
      </c>
      <c r="F29" s="17">
        <f>4180.63</f>
        <v>4180.63</v>
      </c>
      <c r="G29" s="17">
        <f t="shared" si="0"/>
        <v>972.38000000000011</v>
      </c>
      <c r="H29" s="17">
        <f>328.31</f>
        <v>328.31</v>
      </c>
      <c r="I29" s="17">
        <f>644.07</f>
        <v>644.07000000000005</v>
      </c>
      <c r="J29" s="17">
        <f>2926</f>
        <v>2926</v>
      </c>
      <c r="K29" s="17">
        <f t="shared" si="2"/>
        <v>780.37</v>
      </c>
      <c r="L29" s="17">
        <f>241.09</f>
        <v>241.09</v>
      </c>
      <c r="M29" s="17">
        <f>539.28</f>
        <v>539.28</v>
      </c>
      <c r="N29" s="17">
        <f t="shared" si="1"/>
        <v>1183.3499999999999</v>
      </c>
      <c r="O29" s="30">
        <f>N29/7/9308.5</f>
        <v>1.8160820755223718E-2</v>
      </c>
      <c r="P29" s="30">
        <v>0</v>
      </c>
    </row>
    <row r="30" spans="1:16" x14ac:dyDescent="0.2">
      <c r="A30" s="14" t="s">
        <v>42</v>
      </c>
      <c r="B30" s="15" t="s">
        <v>43</v>
      </c>
      <c r="C30" s="15"/>
      <c r="D30" s="15" t="s">
        <v>8</v>
      </c>
      <c r="E30" s="16" t="s">
        <v>44</v>
      </c>
      <c r="F30" s="17">
        <f>411.12</f>
        <v>411.12</v>
      </c>
      <c r="G30" s="17">
        <f t="shared" si="0"/>
        <v>623.21</v>
      </c>
      <c r="H30" s="17">
        <f>24.87</f>
        <v>24.87</v>
      </c>
      <c r="I30" s="17">
        <f>598.34</f>
        <v>598.34</v>
      </c>
      <c r="J30" s="17">
        <f>0</f>
        <v>0</v>
      </c>
      <c r="K30" s="17">
        <f t="shared" si="2"/>
        <v>483.15</v>
      </c>
      <c r="L30" s="17">
        <v>0</v>
      </c>
      <c r="M30" s="17">
        <f>483.15</f>
        <v>483.15</v>
      </c>
      <c r="N30" s="17">
        <f t="shared" si="1"/>
        <v>1081.49</v>
      </c>
      <c r="O30" s="30">
        <f>N30/7/6596.7</f>
        <v>2.3420584751250088E-2</v>
      </c>
      <c r="P30" s="30">
        <v>0</v>
      </c>
    </row>
    <row r="31" spans="1:16" x14ac:dyDescent="0.2">
      <c r="A31" s="14" t="s">
        <v>45</v>
      </c>
      <c r="B31" s="15">
        <v>222</v>
      </c>
      <c r="C31" s="15"/>
      <c r="D31" s="15" t="s">
        <v>8</v>
      </c>
      <c r="E31" s="16" t="s">
        <v>46</v>
      </c>
      <c r="F31" s="17">
        <f>1576.12</f>
        <v>1576.12</v>
      </c>
      <c r="G31" s="17">
        <f t="shared" si="0"/>
        <v>575.46</v>
      </c>
      <c r="H31" s="17">
        <f>171.44</f>
        <v>171.44</v>
      </c>
      <c r="I31" s="17">
        <f>404.02</f>
        <v>404.02</v>
      </c>
      <c r="J31" s="17">
        <f>1550.19</f>
        <v>1550.19</v>
      </c>
      <c r="K31" s="17">
        <f t="shared" si="2"/>
        <v>465.53999999999996</v>
      </c>
      <c r="L31" s="17">
        <f>74.1</f>
        <v>74.099999999999994</v>
      </c>
      <c r="M31" s="17">
        <f>391.44</f>
        <v>391.44</v>
      </c>
      <c r="N31" s="17">
        <f t="shared" si="1"/>
        <v>795.46</v>
      </c>
      <c r="O31" s="30">
        <f>N31/7/3951.5</f>
        <v>2.8757976175412592E-2</v>
      </c>
      <c r="P31" s="30">
        <v>0</v>
      </c>
    </row>
    <row r="32" spans="1:16" x14ac:dyDescent="0.2">
      <c r="A32" s="14" t="s">
        <v>45</v>
      </c>
      <c r="B32" s="15">
        <v>220</v>
      </c>
      <c r="C32" s="15"/>
      <c r="D32" s="15" t="s">
        <v>8</v>
      </c>
      <c r="E32" s="16" t="s">
        <v>47</v>
      </c>
      <c r="F32" s="17">
        <f>2608.72</f>
        <v>2608.7199999999998</v>
      </c>
      <c r="G32" s="17">
        <f t="shared" si="0"/>
        <v>751.31999999999994</v>
      </c>
      <c r="H32" s="17">
        <f>259.86</f>
        <v>259.86</v>
      </c>
      <c r="I32" s="17">
        <f>491.46</f>
        <v>491.46</v>
      </c>
      <c r="J32" s="17">
        <f>1792.22</f>
        <v>1792.22</v>
      </c>
      <c r="K32" s="17">
        <f t="shared" si="2"/>
        <v>578.5</v>
      </c>
      <c r="L32" s="17">
        <f>197.54</f>
        <v>197.54</v>
      </c>
      <c r="M32" s="17">
        <f>380.96</f>
        <v>380.96</v>
      </c>
      <c r="N32" s="17">
        <f t="shared" si="1"/>
        <v>872.42</v>
      </c>
      <c r="O32" s="30">
        <f>N32/7/6320.7</f>
        <v>1.971797879529618E-2</v>
      </c>
      <c r="P32" s="30">
        <v>0</v>
      </c>
    </row>
    <row r="33" spans="1:16" x14ac:dyDescent="0.2">
      <c r="A33" s="31" t="s">
        <v>45</v>
      </c>
      <c r="B33" s="15">
        <v>224</v>
      </c>
      <c r="C33" s="15"/>
      <c r="D33" s="32" t="s">
        <v>8</v>
      </c>
      <c r="E33" s="33" t="s">
        <v>48</v>
      </c>
      <c r="F33" s="17"/>
      <c r="G33" s="17">
        <f t="shared" si="0"/>
        <v>0</v>
      </c>
      <c r="H33" s="17"/>
      <c r="I33" s="17"/>
      <c r="J33" s="17"/>
      <c r="K33" s="17">
        <f t="shared" si="2"/>
        <v>0</v>
      </c>
      <c r="L33" s="17"/>
      <c r="M33" s="17"/>
      <c r="N33" s="17"/>
      <c r="O33" s="30"/>
      <c r="P33" s="30">
        <v>3.3000000000000002E-2</v>
      </c>
    </row>
    <row r="34" spans="1:16" x14ac:dyDescent="0.2">
      <c r="A34" s="14" t="s">
        <v>11</v>
      </c>
      <c r="B34" s="15">
        <v>47</v>
      </c>
      <c r="C34" s="15"/>
      <c r="D34" s="15" t="s">
        <v>8</v>
      </c>
      <c r="E34" s="16" t="s">
        <v>12</v>
      </c>
      <c r="F34" s="17">
        <f>3186.2</f>
        <v>3186.2</v>
      </c>
      <c r="G34" s="17">
        <f t="shared" si="0"/>
        <v>723.76</v>
      </c>
      <c r="H34" s="17">
        <f>214.17</f>
        <v>214.17</v>
      </c>
      <c r="I34" s="17">
        <f>509.59</f>
        <v>509.59</v>
      </c>
      <c r="J34" s="17">
        <f>2235.4</f>
        <v>2235.4</v>
      </c>
      <c r="K34" s="17">
        <f t="shared" si="2"/>
        <v>589.77</v>
      </c>
      <c r="L34" s="17">
        <f>180.04</f>
        <v>180.04</v>
      </c>
      <c r="M34" s="17">
        <f>409.73</f>
        <v>409.73</v>
      </c>
      <c r="N34" s="17">
        <f t="shared" si="1"/>
        <v>919.31999999999994</v>
      </c>
      <c r="O34" s="30">
        <f>N34/7/6834.6</f>
        <v>1.92156715201224E-2</v>
      </c>
      <c r="P34" s="30">
        <v>0</v>
      </c>
    </row>
    <row r="35" spans="1:16" x14ac:dyDescent="0.2">
      <c r="A35" s="14" t="s">
        <v>11</v>
      </c>
      <c r="B35" s="15">
        <v>45</v>
      </c>
      <c r="C35" s="15"/>
      <c r="D35" s="15" t="s">
        <v>8</v>
      </c>
      <c r="E35" s="16" t="s">
        <v>49</v>
      </c>
      <c r="F35" s="17">
        <f>2712.42</f>
        <v>2712.42</v>
      </c>
      <c r="G35" s="17">
        <f t="shared" si="0"/>
        <v>890.25</v>
      </c>
      <c r="H35" s="17">
        <f>252.01</f>
        <v>252.01</v>
      </c>
      <c r="I35" s="17">
        <f>638.24</f>
        <v>638.24</v>
      </c>
      <c r="J35" s="17">
        <f>2031.88</f>
        <v>2031.88</v>
      </c>
      <c r="K35" s="17">
        <f t="shared" si="2"/>
        <v>641.94000000000005</v>
      </c>
      <c r="L35" s="17">
        <f>187.65</f>
        <v>187.65</v>
      </c>
      <c r="M35" s="17">
        <f>454.29</f>
        <v>454.29</v>
      </c>
      <c r="N35" s="17">
        <f t="shared" si="1"/>
        <v>1092.53</v>
      </c>
      <c r="O35" s="30">
        <f>N35/7/6564.3</f>
        <v>2.377644444734614E-2</v>
      </c>
      <c r="P35" s="30">
        <v>0</v>
      </c>
    </row>
    <row r="36" spans="1:16" x14ac:dyDescent="0.2">
      <c r="A36" s="14" t="s">
        <v>50</v>
      </c>
      <c r="B36" s="15">
        <v>43</v>
      </c>
      <c r="C36" s="15"/>
      <c r="D36" s="15" t="s">
        <v>8</v>
      </c>
      <c r="E36" s="16" t="s">
        <v>51</v>
      </c>
      <c r="F36" s="17">
        <f>1754.5</f>
        <v>1754.5</v>
      </c>
      <c r="G36" s="17">
        <f t="shared" si="0"/>
        <v>396.3</v>
      </c>
      <c r="H36" s="17">
        <f>134.32</f>
        <v>134.32</v>
      </c>
      <c r="I36" s="17">
        <f>261.98</f>
        <v>261.98</v>
      </c>
      <c r="J36" s="17">
        <f>1305</f>
        <v>1305</v>
      </c>
      <c r="K36" s="17">
        <f t="shared" si="2"/>
        <v>309.10000000000002</v>
      </c>
      <c r="L36" s="17">
        <f>96.7</f>
        <v>96.7</v>
      </c>
      <c r="M36" s="17">
        <f>212.4</f>
        <v>212.4</v>
      </c>
      <c r="N36" s="17">
        <f t="shared" si="1"/>
        <v>474.38</v>
      </c>
      <c r="O36" s="30">
        <f>N36/7/4409</f>
        <v>1.5370508375724979E-2</v>
      </c>
      <c r="P36" s="30">
        <v>0</v>
      </c>
    </row>
    <row r="37" spans="1:16" x14ac:dyDescent="0.2">
      <c r="A37" s="18" t="s">
        <v>13</v>
      </c>
      <c r="B37" s="18"/>
      <c r="C37" s="19"/>
      <c r="D37" s="19"/>
      <c r="E37" s="20"/>
      <c r="F37" s="21">
        <f t="shared" ref="F37:N37" si="3">SUM(F11:F36)</f>
        <v>81729.600000000006</v>
      </c>
      <c r="G37" s="21">
        <f t="shared" si="3"/>
        <v>24067.299999999996</v>
      </c>
      <c r="H37" s="21">
        <f t="shared" si="3"/>
        <v>6915.91</v>
      </c>
      <c r="I37" s="21">
        <f t="shared" si="3"/>
        <v>17151.39</v>
      </c>
      <c r="J37" s="21">
        <f t="shared" si="3"/>
        <v>43636</v>
      </c>
      <c r="K37" s="21">
        <f t="shared" si="3"/>
        <v>13893.380000000001</v>
      </c>
      <c r="L37" s="21">
        <f t="shared" si="3"/>
        <v>3632.48</v>
      </c>
      <c r="M37" s="21">
        <f t="shared" si="3"/>
        <v>10260.9</v>
      </c>
      <c r="N37" s="21">
        <f t="shared" si="3"/>
        <v>27412.29</v>
      </c>
      <c r="O37" s="21"/>
      <c r="P37" s="21"/>
    </row>
    <row r="39" spans="1:16" x14ac:dyDescent="0.2">
      <c r="B39" t="s">
        <v>56</v>
      </c>
    </row>
    <row r="42" spans="1:16" x14ac:dyDescent="0.2">
      <c r="A42" t="s">
        <v>15</v>
      </c>
    </row>
    <row r="43" spans="1:16" x14ac:dyDescent="0.2">
      <c r="A43"/>
    </row>
  </sheetData>
  <mergeCells count="6">
    <mergeCell ref="D9:D10"/>
    <mergeCell ref="E9:E10"/>
    <mergeCell ref="J9:K9"/>
    <mergeCell ref="L9:M9"/>
    <mergeCell ref="H9:I9"/>
    <mergeCell ref="F9:G9"/>
  </mergeCells>
  <phoneticPr fontId="3" type="noConversion"/>
  <pageMargins left="0.31496062992125984" right="0" top="0.35433070866141736" bottom="0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справка о средн. пред. янв-д.</vt:lpstr>
      <vt:lpstr>'справка о средн. пред. янв-д.'!Заголовки_для_печати</vt:lpstr>
      <vt:lpstr>'справка о средн. пред. янв-д.'!Область_печати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User-01</cp:lastModifiedBy>
  <cp:lastPrinted>2016-01-25T12:50:43Z</cp:lastPrinted>
  <dcterms:created xsi:type="dcterms:W3CDTF">2012-04-09T03:21:30Z</dcterms:created>
  <dcterms:modified xsi:type="dcterms:W3CDTF">2016-02-01T12:45:18Z</dcterms:modified>
</cp:coreProperties>
</file>