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97 (январь)" sheetId="1" r:id="rId1"/>
    <sheet name="97 (февраль)" sheetId="2" r:id="rId2"/>
    <sheet name="97 (март)" sheetId="3" r:id="rId3"/>
    <sheet name="97 (апрель)" sheetId="4" r:id="rId4"/>
    <sheet name="97 (май)" sheetId="5" r:id="rId5"/>
    <sheet name="97 (июнь)" sheetId="6" r:id="rId6"/>
    <sheet name="97 (июль)" sheetId="7" r:id="rId7"/>
    <sheet name="97 (август)" sheetId="8" r:id="rId8"/>
    <sheet name="97 (сентябрь)" sheetId="9" r:id="rId9"/>
    <sheet name="97 (октябрь)" sheetId="10" r:id="rId10"/>
    <sheet name="97 (ноябрь)" sheetId="11" r:id="rId11"/>
    <sheet name="97 (декабрь)" sheetId="12" r:id="rId12"/>
  </sheets>
  <definedNames/>
  <calcPr fullCalcOnLoad="1"/>
</workbook>
</file>

<file path=xl/sharedStrings.xml><?xml version="1.0" encoding="utf-8"?>
<sst xmlns="http://schemas.openxmlformats.org/spreadsheetml/2006/main" count="216" uniqueCount="40">
  <si>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</si>
  <si>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</si>
  <si>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</si>
  <si>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</si>
  <si>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</si>
  <si>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</si>
  <si>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</si>
  <si>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Репина 97</t>
  </si>
  <si>
    <t>ГВС (тонн)</t>
  </si>
  <si>
    <t>водоотведение(тонн)</t>
  </si>
  <si>
    <t>объем потребления</t>
  </si>
  <si>
    <t>итого по эл.эн.</t>
  </si>
  <si>
    <t>ХВС (тонн)</t>
  </si>
  <si>
    <t>нагрев воды (Г.кал.)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</si>
  <si>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</si>
  <si>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</si>
  <si>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январь в феврале 2016г.</t>
  </si>
  <si>
    <t>38996,/40426</t>
  </si>
  <si>
    <t>Объем коммунальных услуг по показаниям общедомовых приборов учета (ОДН) за февраль в марте 2016г.</t>
  </si>
  <si>
    <t>40426,/41783</t>
  </si>
  <si>
    <t>Объем коммунальных услуг по показаниям общедомовых приборов учета (ОДН) за март в апреле 2016г.</t>
  </si>
  <si>
    <t>41783,/43135</t>
  </si>
  <si>
    <t>Объем коммунальных услуг по показаниям общедомовых приборов учета (ОДН) за апрель в мае 2016г.</t>
  </si>
  <si>
    <t>43135,/44389</t>
  </si>
  <si>
    <t>Объем коммунальных услуг по показаниям общедомовых приборов учета (ОДН) за май в июне 2016г.</t>
  </si>
  <si>
    <t>44389,/45748</t>
  </si>
  <si>
    <t>Объем коммунальных услуг по показаниям общедомовых приборов учета (ОДН) за июнь в июле 2016г.</t>
  </si>
  <si>
    <t>45748,/46843</t>
  </si>
  <si>
    <t>Объем коммунальных услуг по показаниям общедомовых приборов учета (ОДН) за июль в августе 2016г.</t>
  </si>
  <si>
    <t>46843,/47841</t>
  </si>
  <si>
    <t>Объем коммунальных услуг по показаниям общедомовых приборов учета (ОДН) за август в сентябре 2016г.</t>
  </si>
  <si>
    <t>47841,/49283</t>
  </si>
  <si>
    <t>Объем коммунальных услуг по показаниям общедомовых приборов учета (ОДН) за сентябрь в октябре 2016г.</t>
  </si>
  <si>
    <t>49283,/50548</t>
  </si>
  <si>
    <t>Объем коммунальных услуг по показаниям общедомовых приборов учета (ОДН) за октябрь в ноябре 2016г.</t>
  </si>
  <si>
    <t>50548 /51686</t>
  </si>
  <si>
    <t>Объем коммунальных услуг по показаниям общедомовых приборов учета (ОДН) за ноябрь в декабре 2016г.</t>
  </si>
  <si>
    <t>51686,/53118</t>
  </si>
  <si>
    <t>Объем коммунальных услуг по показаниям общедомовых приборов учета (ОДН) за декабрь в январе 2017г.</t>
  </si>
  <si>
    <t>53118,/54362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</si>
</sst>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  <numFmt numFmtId="174" formatCode="0.000"/>
    <numFmt numFmtId="175" formatCode="0.0"/>
    <numFmt numFmtId="176" formatCode="#,##0.0000"/>
    <numFmt numFmtId="177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7" sqref="G7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16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">
      <c r="A7" s="9">
        <v>1</v>
      </c>
      <c r="B7" s="10" t="s">
        <v>13</v>
      </c>
      <c r="C7" s="9"/>
      <c r="D7" s="11">
        <f>94.9</f>
        <v>94.9</v>
      </c>
      <c r="E7" s="11">
        <f>E8*0.0478+0.0032</f>
        <v>44.37307199999999</v>
      </c>
      <c r="F7" s="11">
        <f>0.47+0.06</f>
        <v>0.53</v>
      </c>
      <c r="G7" s="15">
        <f>G8*0.0478-0.0001</f>
        <v>1.8278532600000001</v>
      </c>
      <c r="H7" s="6">
        <f>G7/9571.3</f>
        <v>0.00019097230888176112</v>
      </c>
      <c r="J7" s="7"/>
    </row>
    <row r="8" spans="1:10" ht="15">
      <c r="A8" s="3">
        <v>2</v>
      </c>
      <c r="B8" s="4" t="s">
        <v>8</v>
      </c>
      <c r="C8" s="6"/>
      <c r="D8" s="6">
        <f>1077.9</f>
        <v>1077.9</v>
      </c>
      <c r="E8" s="15">
        <f>734.91-209.6+392.62+10.31</f>
        <v>928.2399999999999</v>
      </c>
      <c r="F8" s="15">
        <f>5.07+1</f>
        <v>6.07</v>
      </c>
      <c r="G8" s="15">
        <f>38.2428-0.0011</f>
        <v>38.2417</v>
      </c>
      <c r="H8" s="6">
        <f aca="true" t="shared" si="0" ref="H8:H13">G8/9571.3</f>
        <v>0.003995455162830546</v>
      </c>
      <c r="J8" s="7"/>
    </row>
    <row r="9" spans="1:10" ht="15">
      <c r="A9" s="3">
        <v>3</v>
      </c>
      <c r="B9" s="4" t="s">
        <v>12</v>
      </c>
      <c r="C9" s="5" t="s">
        <v>17</v>
      </c>
      <c r="D9" s="5">
        <f>40426-38996</f>
        <v>1430</v>
      </c>
      <c r="E9" s="15">
        <f>726.53-207.58+622.89+20.25</f>
        <v>1162.09</v>
      </c>
      <c r="F9" s="15">
        <f>7</f>
        <v>7</v>
      </c>
      <c r="G9" s="15">
        <f>38.2428-0.0011</f>
        <v>38.2417</v>
      </c>
      <c r="H9" s="6">
        <f t="shared" si="0"/>
        <v>0.003995455162830546</v>
      </c>
      <c r="J9" s="7"/>
    </row>
    <row r="10" spans="1:8" ht="15">
      <c r="A10" s="3">
        <v>4</v>
      </c>
      <c r="B10" s="4" t="s">
        <v>9</v>
      </c>
      <c r="C10" s="5"/>
      <c r="D10" s="5">
        <f>D8+D9</f>
        <v>2507.9</v>
      </c>
      <c r="E10" s="15">
        <f>948.02+898.09+65.74+159.87+18.61</f>
        <v>2090.3300000000004</v>
      </c>
      <c r="F10" s="15">
        <f>F8+F9</f>
        <v>13.07</v>
      </c>
      <c r="G10" s="1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45105</f>
        <v>45105</v>
      </c>
      <c r="E11" s="15">
        <f>20032-960</f>
        <v>19072</v>
      </c>
      <c r="F11" s="15">
        <f>431</f>
        <v>431</v>
      </c>
      <c r="G11" s="15">
        <f>7315-0.0001</f>
        <v>7314.9999</v>
      </c>
      <c r="H11" s="6">
        <f t="shared" si="0"/>
        <v>0.7642639871281853</v>
      </c>
    </row>
    <row r="12" spans="1:8" ht="15">
      <c r="A12" s="23"/>
      <c r="B12" s="14" t="s">
        <v>15</v>
      </c>
      <c r="C12" s="5"/>
      <c r="D12" s="6">
        <f>16665</f>
        <v>16665</v>
      </c>
      <c r="E12" s="15">
        <f>16153</f>
        <v>16153</v>
      </c>
      <c r="F12" s="15">
        <f>745</f>
        <v>745</v>
      </c>
      <c r="G12" s="15">
        <f>D12-E12-F12-0.0003</f>
        <v>-233.0003</v>
      </c>
      <c r="H12" s="6">
        <f t="shared" si="0"/>
        <v>-0.024343641929518458</v>
      </c>
    </row>
    <row r="13" spans="1:8" ht="15">
      <c r="A13" s="24"/>
      <c r="B13" s="12" t="s">
        <v>11</v>
      </c>
      <c r="C13" s="12"/>
      <c r="D13" s="13">
        <f>SUM(D11:D12)</f>
        <v>61770</v>
      </c>
      <c r="E13" s="16">
        <f>SUM(E11:E12)</f>
        <v>35225</v>
      </c>
      <c r="F13" s="16">
        <f>SUM(F11:F12)</f>
        <v>1176</v>
      </c>
      <c r="G13" s="16">
        <f>SUM(G11:G12)</f>
        <v>7081.9996</v>
      </c>
      <c r="H13" s="6">
        <f t="shared" si="0"/>
        <v>0.7399203451986669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9" sqref="D9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34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9">
        <v>1</v>
      </c>
      <c r="B7" s="10" t="s">
        <v>13</v>
      </c>
      <c r="C7" s="17"/>
      <c r="D7" s="18">
        <v>90.89</v>
      </c>
      <c r="E7" s="18">
        <f>38.1105+34.3322-10.888693+0.0004</f>
        <v>61.554407</v>
      </c>
      <c r="F7" s="19">
        <v>0.48</v>
      </c>
      <c r="G7" s="5">
        <f>38.2428*0.064-0.001</f>
        <v>2.4465392</v>
      </c>
      <c r="H7" s="6">
        <f>G7/9570.7</f>
        <v>0.0002556280313874638</v>
      </c>
      <c r="J7" s="7"/>
    </row>
    <row r="8" spans="1:10" ht="15">
      <c r="A8" s="3">
        <v>2</v>
      </c>
      <c r="B8" s="4" t="s">
        <v>8</v>
      </c>
      <c r="C8" s="6"/>
      <c r="D8" s="20">
        <v>1399.6</v>
      </c>
      <c r="E8" s="21">
        <f>594.66+536.44-169.6</f>
        <v>961.4999999999999</v>
      </c>
      <c r="F8" s="15">
        <v>7.55</v>
      </c>
      <c r="G8" s="5">
        <f>38.2428</f>
        <v>38.2428</v>
      </c>
      <c r="H8" s="6">
        <f aca="true" t="shared" si="0" ref="H8:H13">G8/9570.7</f>
        <v>0.003995820577387234</v>
      </c>
      <c r="J8" s="7"/>
    </row>
    <row r="9" spans="1:10" ht="15">
      <c r="A9" s="3">
        <v>3</v>
      </c>
      <c r="B9" s="4" t="s">
        <v>12</v>
      </c>
      <c r="C9" s="5" t="s">
        <v>35</v>
      </c>
      <c r="D9" s="5">
        <f>51686-50548</f>
        <v>1138</v>
      </c>
      <c r="E9" s="13">
        <f>631.47+742.82-180.42</f>
        <v>1193.87</v>
      </c>
      <c r="F9" s="15">
        <v>6</v>
      </c>
      <c r="G9" s="5">
        <f>D9-E9-F9+1.2488</f>
        <v>-60.62119999999989</v>
      </c>
      <c r="H9" s="6">
        <f t="shared" si="0"/>
        <v>-0.006334040352325314</v>
      </c>
      <c r="J9" s="7"/>
    </row>
    <row r="10" spans="1:8" ht="15">
      <c r="A10" s="3">
        <v>4</v>
      </c>
      <c r="B10" s="4" t="s">
        <v>9</v>
      </c>
      <c r="C10" s="5"/>
      <c r="D10" s="13">
        <f>D8+D9</f>
        <v>2537.6</v>
      </c>
      <c r="E10" s="5">
        <f>1153.2+1226.6+125.59-350.02</f>
        <v>2155.3700000000003</v>
      </c>
      <c r="F10" s="15">
        <f>F8+F9</f>
        <v>13.55</v>
      </c>
      <c r="G10" s="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v>31470</v>
      </c>
      <c r="E11" s="5">
        <f>29770-17121-3607.906368+0.0002</f>
        <v>9041.093832</v>
      </c>
      <c r="F11" s="5">
        <v>212</v>
      </c>
      <c r="G11" s="5">
        <f>D11-E11-F11-15134.9061</f>
        <v>7082.000068000001</v>
      </c>
      <c r="H11" s="6">
        <f t="shared" si="0"/>
        <v>0.739966780695247</v>
      </c>
    </row>
    <row r="12" spans="1:8" ht="15">
      <c r="A12" s="30"/>
      <c r="B12" s="14" t="s">
        <v>15</v>
      </c>
      <c r="C12" s="5"/>
      <c r="D12" s="6">
        <v>12015</v>
      </c>
      <c r="E12" s="5">
        <v>9863</v>
      </c>
      <c r="F12" s="5">
        <v>308</v>
      </c>
      <c r="G12" s="5">
        <f>D12-E12-F12-1844</f>
        <v>0</v>
      </c>
      <c r="H12" s="6">
        <f t="shared" si="0"/>
        <v>0</v>
      </c>
    </row>
    <row r="13" spans="1:8" ht="15">
      <c r="A13" s="24"/>
      <c r="B13" s="12" t="s">
        <v>11</v>
      </c>
      <c r="C13" s="12"/>
      <c r="D13" s="13">
        <f>SUM(D11:D12)</f>
        <v>43485</v>
      </c>
      <c r="E13" s="13">
        <f>SUM(E11:E12)</f>
        <v>18904.093832</v>
      </c>
      <c r="F13" s="13">
        <f>SUM(F11:F12)</f>
        <v>520</v>
      </c>
      <c r="G13" s="13">
        <f>SUM(G11:G12)</f>
        <v>7082.000068000001</v>
      </c>
      <c r="H13" s="6">
        <f t="shared" si="0"/>
        <v>0.739966780695247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3" sqref="A3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36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9">
        <v>1</v>
      </c>
      <c r="B7" s="10" t="s">
        <v>13</v>
      </c>
      <c r="C7" s="17"/>
      <c r="D7" s="18">
        <f>76.06</f>
        <v>76.06</v>
      </c>
      <c r="E7" s="18">
        <f>44.7554-12.787229+45.5892+0.0013</f>
        <v>77.558671</v>
      </c>
      <c r="F7" s="19">
        <f>0.37+0.06</f>
        <v>0.43</v>
      </c>
      <c r="G7" s="5">
        <f>D7-E7-F7+0.0748</f>
        <v>-1.8538710000000016</v>
      </c>
      <c r="H7" s="6">
        <f>G7/9571.3</f>
        <v>-0.00019369061673962803</v>
      </c>
      <c r="J7" s="7"/>
    </row>
    <row r="8" spans="1:10" ht="15">
      <c r="A8" s="3">
        <v>2</v>
      </c>
      <c r="B8" s="4" t="s">
        <v>8</v>
      </c>
      <c r="C8" s="6"/>
      <c r="D8" s="20">
        <f>996.5</f>
        <v>996.5</v>
      </c>
      <c r="E8" s="21">
        <f>561-160+572.01</f>
        <v>973.01</v>
      </c>
      <c r="F8" s="15">
        <f>4.67+1</f>
        <v>5.67</v>
      </c>
      <c r="G8" s="5">
        <f>D8-E8-F8+0.0012</f>
        <v>17.821200000000008</v>
      </c>
      <c r="H8" s="6">
        <f aca="true" t="shared" si="0" ref="H8:H13">G8/9571.3</f>
        <v>0.0018619414290639736</v>
      </c>
      <c r="J8" s="7"/>
    </row>
    <row r="9" spans="1:10" ht="15">
      <c r="A9" s="3">
        <v>3</v>
      </c>
      <c r="B9" s="4" t="s">
        <v>12</v>
      </c>
      <c r="C9" s="5" t="s">
        <v>37</v>
      </c>
      <c r="D9" s="5">
        <f>53118-51686</f>
        <v>1432</v>
      </c>
      <c r="E9" s="13">
        <f>617.89-176.54+740.55</f>
        <v>1181.9</v>
      </c>
      <c r="F9" s="15">
        <f>6</f>
        <v>6</v>
      </c>
      <c r="G9" s="5">
        <f>38.2428-0.0011</f>
        <v>38.2417</v>
      </c>
      <c r="H9" s="6">
        <f t="shared" si="0"/>
        <v>0.003995455162830546</v>
      </c>
      <c r="J9" s="7"/>
    </row>
    <row r="10" spans="1:8" ht="15">
      <c r="A10" s="3">
        <v>4</v>
      </c>
      <c r="B10" s="4" t="s">
        <v>9</v>
      </c>
      <c r="C10" s="5"/>
      <c r="D10" s="13">
        <f>D8+D9</f>
        <v>2428.5</v>
      </c>
      <c r="E10" s="5">
        <f>1128.4-322.14+1271.82+91.23-14.4</f>
        <v>2154.91</v>
      </c>
      <c r="F10" s="15">
        <f>F8+F9</f>
        <v>11.67</v>
      </c>
      <c r="G10" s="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34350</f>
        <v>34350</v>
      </c>
      <c r="E11" s="5">
        <f>32807-4453</f>
        <v>28354</v>
      </c>
      <c r="F11" s="5">
        <f>592</f>
        <v>592</v>
      </c>
      <c r="G11" s="5">
        <f>D11-E11-F11+0.0007</f>
        <v>5404.0007</v>
      </c>
      <c r="H11" s="6">
        <f t="shared" si="0"/>
        <v>0.5646046723015682</v>
      </c>
    </row>
    <row r="12" spans="1:8" ht="15">
      <c r="A12" s="30"/>
      <c r="B12" s="14" t="s">
        <v>15</v>
      </c>
      <c r="C12" s="5"/>
      <c r="D12" s="6">
        <f>12315</f>
        <v>12315</v>
      </c>
      <c r="E12" s="5">
        <f>10535</f>
        <v>10535</v>
      </c>
      <c r="F12" s="5">
        <f>706</f>
        <v>706</v>
      </c>
      <c r="G12" s="5">
        <f>D12-E12-F12-0.0001</f>
        <v>1073.9999</v>
      </c>
      <c r="H12" s="6">
        <f t="shared" si="0"/>
        <v>0.1122104520806996</v>
      </c>
    </row>
    <row r="13" spans="1:8" ht="15">
      <c r="A13" s="24"/>
      <c r="B13" s="12" t="s">
        <v>11</v>
      </c>
      <c r="C13" s="12"/>
      <c r="D13" s="13">
        <f>SUM(D11:D12)</f>
        <v>46665</v>
      </c>
      <c r="E13" s="13">
        <f>SUM(E11:E12)</f>
        <v>38889</v>
      </c>
      <c r="F13" s="13">
        <f>SUM(F11:F12)</f>
        <v>1298</v>
      </c>
      <c r="G13" s="13">
        <f>SUM(G11:G12)</f>
        <v>6478.000599999999</v>
      </c>
      <c r="H13" s="6">
        <f t="shared" si="0"/>
        <v>0.6768151243822678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33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3" sqref="A3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38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.75">
      <c r="A7" s="9">
        <v>1</v>
      </c>
      <c r="B7" s="10" t="s">
        <v>13</v>
      </c>
      <c r="C7" s="17"/>
      <c r="D7" s="18">
        <f>82.75</f>
        <v>82.75</v>
      </c>
      <c r="E7" s="18">
        <f>51.1766+49.9178-17.058885-0.0017</f>
        <v>84.033815</v>
      </c>
      <c r="F7" s="19">
        <f>0.41+0.06</f>
        <v>0.47</v>
      </c>
      <c r="G7" s="15">
        <f>D7-E7-F7+0.0568</f>
        <v>-1.6970150000000042</v>
      </c>
      <c r="H7" s="6">
        <f aca="true" t="shared" si="0" ref="H7:H13">G7/9571.3</f>
        <v>-0.00017730245630165226</v>
      </c>
      <c r="J7" s="7"/>
    </row>
    <row r="8" spans="1:10" ht="15">
      <c r="A8" s="3">
        <v>2</v>
      </c>
      <c r="B8" s="4" t="s">
        <v>8</v>
      </c>
      <c r="C8" s="6"/>
      <c r="D8" s="20">
        <f>997.4</f>
        <v>997.4</v>
      </c>
      <c r="E8" s="21">
        <f>588.98+575.09-196</f>
        <v>968.0700000000002</v>
      </c>
      <c r="F8" s="5">
        <f>4.67+1</f>
        <v>5.67</v>
      </c>
      <c r="G8" s="5">
        <f>D8-E8-F8+0.0009</f>
        <v>23.660899999999813</v>
      </c>
      <c r="H8" s="6">
        <f t="shared" si="0"/>
        <v>0.0024720675352355287</v>
      </c>
      <c r="J8" s="7"/>
    </row>
    <row r="9" spans="1:10" ht="15">
      <c r="A9" s="3">
        <v>3</v>
      </c>
      <c r="B9" s="4" t="s">
        <v>12</v>
      </c>
      <c r="C9" s="5" t="s">
        <v>39</v>
      </c>
      <c r="D9" s="5">
        <f>54362-53118</f>
        <v>1244</v>
      </c>
      <c r="E9" s="13">
        <f>647.03+791.7-215.38</f>
        <v>1223.35</v>
      </c>
      <c r="F9" s="5">
        <f>8</f>
        <v>8</v>
      </c>
      <c r="G9" s="5">
        <f>D9-E9-F9-0.0002</f>
        <v>12.649800000000091</v>
      </c>
      <c r="H9" s="6">
        <f t="shared" si="0"/>
        <v>0.0013216386488773826</v>
      </c>
      <c r="J9" s="7"/>
    </row>
    <row r="10" spans="1:8" ht="15">
      <c r="A10" s="3">
        <v>4</v>
      </c>
      <c r="B10" s="4" t="s">
        <v>9</v>
      </c>
      <c r="C10" s="5"/>
      <c r="D10" s="13">
        <f>D8+D9</f>
        <v>2241.4</v>
      </c>
      <c r="E10" s="5">
        <f>1181.92+1320.8+100.08-393.38-18</f>
        <v>2191.42</v>
      </c>
      <c r="F10" s="15">
        <f>F8+F9</f>
        <v>13.67</v>
      </c>
      <c r="G10" s="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27000</f>
        <v>27000</v>
      </c>
      <c r="E11" s="5">
        <f>32450-2377-5054</f>
        <v>25019</v>
      </c>
      <c r="F11" s="5">
        <f>492</f>
        <v>492</v>
      </c>
      <c r="G11" s="5">
        <f>D11-E11-F11+0.0011</f>
        <v>1489.0011</v>
      </c>
      <c r="H11" s="6">
        <f t="shared" si="0"/>
        <v>0.15556936884226805</v>
      </c>
    </row>
    <row r="12" spans="1:8" ht="15">
      <c r="A12" s="30"/>
      <c r="B12" s="14" t="s">
        <v>15</v>
      </c>
      <c r="C12" s="5"/>
      <c r="D12" s="6">
        <f>9735</f>
        <v>9735</v>
      </c>
      <c r="E12" s="5">
        <f>9799</f>
        <v>9799</v>
      </c>
      <c r="F12" s="5">
        <f>557</f>
        <v>557</v>
      </c>
      <c r="G12" s="5">
        <f>D12-E12-F12+0.0011</f>
        <v>-620.9989</v>
      </c>
      <c r="H12" s="6">
        <f t="shared" si="0"/>
        <v>-0.0648813536301234</v>
      </c>
    </row>
    <row r="13" spans="1:8" ht="15">
      <c r="A13" s="24"/>
      <c r="B13" s="12" t="s">
        <v>11</v>
      </c>
      <c r="C13" s="12"/>
      <c r="D13" s="13">
        <f>SUM(D11:D12)</f>
        <v>36735</v>
      </c>
      <c r="E13" s="13">
        <f>SUM(E11:E12)</f>
        <v>34818</v>
      </c>
      <c r="F13" s="13">
        <f>SUM(F11:F12)</f>
        <v>1049</v>
      </c>
      <c r="G13" s="13">
        <f>SUM(G11:G12)</f>
        <v>868.0021999999999</v>
      </c>
      <c r="H13" s="6">
        <f t="shared" si="0"/>
        <v>0.09068801521214463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2" sqref="E12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18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">
      <c r="A7" s="9">
        <v>1</v>
      </c>
      <c r="B7" s="10" t="s">
        <v>13</v>
      </c>
      <c r="C7" s="9"/>
      <c r="D7" s="11">
        <f>86.43</f>
        <v>86.43</v>
      </c>
      <c r="E7" s="11">
        <f>E8*0.0478+0.0026</f>
        <v>44.1644493158</v>
      </c>
      <c r="F7" s="11">
        <f>0.42+0.19</f>
        <v>0.61</v>
      </c>
      <c r="G7" s="15">
        <f>G8*0.0478-0.0001</f>
        <v>1.8278532600000001</v>
      </c>
      <c r="H7" s="6">
        <f>G7/9571.3</f>
        <v>0.00019097230888176112</v>
      </c>
      <c r="J7" s="7"/>
    </row>
    <row r="8" spans="1:10" ht="15">
      <c r="A8" s="3">
        <v>2</v>
      </c>
      <c r="B8" s="4" t="s">
        <v>8</v>
      </c>
      <c r="C8" s="6"/>
      <c r="D8" s="6">
        <f>1046.1</f>
        <v>1046.1</v>
      </c>
      <c r="E8" s="15">
        <f>679.3529-193.754839+403.75+34.54</f>
        <v>923.8880609999999</v>
      </c>
      <c r="F8" s="15">
        <f>4.86+3</f>
        <v>7.86</v>
      </c>
      <c r="G8" s="15">
        <f>38.2428-0.0011</f>
        <v>38.2417</v>
      </c>
      <c r="H8" s="6">
        <f aca="true" t="shared" si="0" ref="H8:H13">G8/9571.3</f>
        <v>0.003995455162830546</v>
      </c>
      <c r="J8" s="7"/>
    </row>
    <row r="9" spans="1:10" ht="15">
      <c r="A9" s="3">
        <v>3</v>
      </c>
      <c r="B9" s="4" t="s">
        <v>12</v>
      </c>
      <c r="C9" s="5" t="s">
        <v>19</v>
      </c>
      <c r="D9" s="5">
        <f>41783-40426</f>
        <v>1357</v>
      </c>
      <c r="E9" s="15">
        <f>673.0861-192.310323+635.15+15.31</f>
        <v>1131.2357769999999</v>
      </c>
      <c r="F9" s="15">
        <f>5</f>
        <v>5</v>
      </c>
      <c r="G9" s="15">
        <f>38.2428-0.0011</f>
        <v>38.2417</v>
      </c>
      <c r="H9" s="6">
        <f t="shared" si="0"/>
        <v>0.003995455162830546</v>
      </c>
      <c r="J9" s="7"/>
    </row>
    <row r="10" spans="1:8" ht="15">
      <c r="A10" s="3">
        <v>4</v>
      </c>
      <c r="B10" s="4" t="s">
        <v>9</v>
      </c>
      <c r="C10" s="5"/>
      <c r="D10" s="5">
        <f>D8+D9</f>
        <v>2403.1</v>
      </c>
      <c r="E10" s="15">
        <f>878.2833+906.05+87.95+167.3206+15.52</f>
        <v>2055.1239</v>
      </c>
      <c r="F10" s="15">
        <f>F8+F9</f>
        <v>12.86</v>
      </c>
      <c r="G10" s="1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34455</f>
        <v>34455</v>
      </c>
      <c r="E11" s="15">
        <f>22551</f>
        <v>22551</v>
      </c>
      <c r="F11" s="15">
        <f>478</f>
        <v>478</v>
      </c>
      <c r="G11" s="15">
        <f>7552-0.0014</f>
        <v>7551.9986</v>
      </c>
      <c r="H11" s="6">
        <f t="shared" si="0"/>
        <v>0.7890253779528382</v>
      </c>
    </row>
    <row r="12" spans="1:8" ht="15">
      <c r="A12" s="23"/>
      <c r="B12" s="14" t="s">
        <v>15</v>
      </c>
      <c r="C12" s="5"/>
      <c r="D12" s="6">
        <f>12495</f>
        <v>12495</v>
      </c>
      <c r="E12" s="15">
        <f>12320</f>
        <v>12320</v>
      </c>
      <c r="F12" s="15">
        <f>645</f>
        <v>645</v>
      </c>
      <c r="G12" s="15">
        <f>D12-E12-F12+0.0006</f>
        <v>-469.9994</v>
      </c>
      <c r="H12" s="6">
        <f t="shared" si="0"/>
        <v>-0.049105074545777484</v>
      </c>
    </row>
    <row r="13" spans="1:8" ht="15">
      <c r="A13" s="24"/>
      <c r="B13" s="12" t="s">
        <v>11</v>
      </c>
      <c r="C13" s="12"/>
      <c r="D13" s="13">
        <f>SUM(D11:D12)</f>
        <v>46950</v>
      </c>
      <c r="E13" s="16">
        <f>SUM(E11:E12)</f>
        <v>34871</v>
      </c>
      <c r="F13" s="16">
        <f>SUM(F11:F12)</f>
        <v>1123</v>
      </c>
      <c r="G13" s="16">
        <f>SUM(G11:G12)</f>
        <v>7081.9992</v>
      </c>
      <c r="H13" s="6">
        <f t="shared" si="0"/>
        <v>0.7399203034070607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3" sqref="A3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20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">
      <c r="A7" s="9">
        <v>1</v>
      </c>
      <c r="B7" s="10" t="s">
        <v>13</v>
      </c>
      <c r="C7" s="9"/>
      <c r="D7" s="11">
        <f>96.38</f>
        <v>96.38</v>
      </c>
      <c r="E7" s="11">
        <f>E8*0.0478+0.0026</f>
        <v>44.167410000000004</v>
      </c>
      <c r="F7" s="11">
        <f>0.47+0.06</f>
        <v>0.53</v>
      </c>
      <c r="G7" s="15">
        <f>38.2428*0.0478-0.0001</f>
        <v>1.8279058400000001</v>
      </c>
      <c r="H7" s="6">
        <f aca="true" t="shared" si="0" ref="H7:H13">G7/9571.3</f>
        <v>0.00019097780238839032</v>
      </c>
      <c r="J7" s="7"/>
    </row>
    <row r="8" spans="1:10" ht="15">
      <c r="A8" s="3">
        <v>2</v>
      </c>
      <c r="B8" s="4" t="s">
        <v>8</v>
      </c>
      <c r="C8" s="6"/>
      <c r="D8" s="6">
        <f>1067.9</f>
        <v>1067.9</v>
      </c>
      <c r="E8" s="15">
        <f>667.59-190.4+441.35+5.41</f>
        <v>923.95</v>
      </c>
      <c r="F8" s="15">
        <f>5.97</f>
        <v>5.97</v>
      </c>
      <c r="G8" s="15">
        <f>38.2428-0.0011</f>
        <v>38.2417</v>
      </c>
      <c r="H8" s="6">
        <f t="shared" si="0"/>
        <v>0.003995455162830546</v>
      </c>
      <c r="J8" s="7"/>
    </row>
    <row r="9" spans="1:10" ht="15">
      <c r="A9" s="3">
        <v>3</v>
      </c>
      <c r="B9" s="4" t="s">
        <v>12</v>
      </c>
      <c r="C9" s="5" t="s">
        <v>21</v>
      </c>
      <c r="D9" s="5">
        <f>43135-41783</f>
        <v>1352</v>
      </c>
      <c r="E9" s="15">
        <f>665.42-190.12+709.37+19.64</f>
        <v>1204.3100000000002</v>
      </c>
      <c r="F9" s="15">
        <f>5</f>
        <v>5</v>
      </c>
      <c r="G9" s="15">
        <f>38.2428-0.0011</f>
        <v>38.2417</v>
      </c>
      <c r="H9" s="6">
        <f t="shared" si="0"/>
        <v>0.003995455162830546</v>
      </c>
      <c r="J9" s="7"/>
    </row>
    <row r="10" spans="1:8" ht="15">
      <c r="A10" s="3">
        <v>4</v>
      </c>
      <c r="B10" s="4" t="s">
        <v>9</v>
      </c>
      <c r="C10" s="5"/>
      <c r="D10" s="5">
        <f>D8+D9</f>
        <v>2419.9</v>
      </c>
      <c r="E10" s="15">
        <f>868.28+1009.05+83+152.41+15.52</f>
        <v>2128.2599999999998</v>
      </c>
      <c r="F10" s="15">
        <f>F8+F9</f>
        <v>10.969999999999999</v>
      </c>
      <c r="G10" s="1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34020</f>
        <v>34020</v>
      </c>
      <c r="E11" s="15">
        <f>23931</f>
        <v>23931</v>
      </c>
      <c r="F11" s="15">
        <f>332</f>
        <v>332</v>
      </c>
      <c r="G11" s="15">
        <f>7082-0.0001</f>
        <v>7081.9999</v>
      </c>
      <c r="H11" s="6">
        <f t="shared" si="0"/>
        <v>0.7399203765423715</v>
      </c>
    </row>
    <row r="12" spans="1:8" ht="15">
      <c r="A12" s="23"/>
      <c r="B12" s="14" t="s">
        <v>15</v>
      </c>
      <c r="C12" s="5"/>
      <c r="D12" s="6">
        <f>12225</f>
        <v>12225</v>
      </c>
      <c r="E12" s="15">
        <f>11180</f>
        <v>11180</v>
      </c>
      <c r="F12" s="15">
        <f>474</f>
        <v>474</v>
      </c>
      <c r="G12" s="15">
        <v>0</v>
      </c>
      <c r="H12" s="6">
        <f t="shared" si="0"/>
        <v>0</v>
      </c>
    </row>
    <row r="13" spans="1:8" ht="15">
      <c r="A13" s="24"/>
      <c r="B13" s="12" t="s">
        <v>11</v>
      </c>
      <c r="C13" s="12"/>
      <c r="D13" s="13">
        <f>SUM(D11:D12)</f>
        <v>46245</v>
      </c>
      <c r="E13" s="16">
        <f>SUM(E11:E12)</f>
        <v>35111</v>
      </c>
      <c r="F13" s="16">
        <f>SUM(F11:F12)</f>
        <v>806</v>
      </c>
      <c r="G13" s="16">
        <f>SUM(G11:G12)</f>
        <v>7081.9999</v>
      </c>
      <c r="H13" s="6">
        <f t="shared" si="0"/>
        <v>0.7399203765423715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7" sqref="E17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22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">
      <c r="A7" s="9">
        <v>1</v>
      </c>
      <c r="B7" s="10" t="s">
        <v>13</v>
      </c>
      <c r="C7" s="9"/>
      <c r="D7" s="11">
        <f>82.23</f>
        <v>82.23</v>
      </c>
      <c r="E7" s="11">
        <f>E8*0.0478+0.002535</f>
        <v>44.033939071800006</v>
      </c>
      <c r="F7" s="11">
        <f>0.39+0.06</f>
        <v>0.45</v>
      </c>
      <c r="G7" s="15">
        <f>G8*0.0478-0.0001</f>
        <v>1.8278532600000001</v>
      </c>
      <c r="H7" s="6">
        <f aca="true" t="shared" si="0" ref="H7:H13">G7/9571.3</f>
        <v>0.00019097230888176112</v>
      </c>
      <c r="J7" s="7"/>
    </row>
    <row r="8" spans="1:10" ht="15">
      <c r="A8" s="3">
        <v>2</v>
      </c>
      <c r="B8" s="4" t="s">
        <v>8</v>
      </c>
      <c r="C8" s="6"/>
      <c r="D8" s="6">
        <f>1055.5</f>
        <v>1055.5</v>
      </c>
      <c r="E8" s="15">
        <f>637.0065-181.677419+459.34+6.49</f>
        <v>921.159081</v>
      </c>
      <c r="F8" s="15">
        <f>4.91+1</f>
        <v>5.91</v>
      </c>
      <c r="G8" s="15">
        <f>38.2428-0.0011</f>
        <v>38.2417</v>
      </c>
      <c r="H8" s="6">
        <f t="shared" si="0"/>
        <v>0.003995455162830546</v>
      </c>
      <c r="J8" s="7"/>
    </row>
    <row r="9" spans="1:10" ht="15">
      <c r="A9" s="3">
        <v>3</v>
      </c>
      <c r="B9" s="4" t="s">
        <v>12</v>
      </c>
      <c r="C9" s="5" t="s">
        <v>23</v>
      </c>
      <c r="D9" s="5">
        <f>44389-43135</f>
        <v>1254</v>
      </c>
      <c r="E9" s="15">
        <f>662.3535-189.243871+747+25.26</f>
        <v>1245.369629</v>
      </c>
      <c r="F9" s="15">
        <f>5</f>
        <v>5</v>
      </c>
      <c r="G9" s="15">
        <f>D9-E9-F9-0.0005</f>
        <v>3.629870999999968</v>
      </c>
      <c r="H9" s="6">
        <f t="shared" si="0"/>
        <v>0.00037924534807183644</v>
      </c>
      <c r="J9" s="7"/>
    </row>
    <row r="10" spans="1:8" ht="15">
      <c r="A10" s="3">
        <v>4</v>
      </c>
      <c r="B10" s="4" t="s">
        <v>9</v>
      </c>
      <c r="C10" s="5"/>
      <c r="D10" s="5">
        <f>D8+D9</f>
        <v>2309.5</v>
      </c>
      <c r="E10" s="15">
        <f>864.2787+1064.35+97.42+124.96+15.52</f>
        <v>2166.5287</v>
      </c>
      <c r="F10" s="15">
        <f>F8+F9</f>
        <v>10.91</v>
      </c>
      <c r="G10" s="1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31020</f>
        <v>31020</v>
      </c>
      <c r="E11" s="15">
        <f>21766</f>
        <v>21766</v>
      </c>
      <c r="F11" s="15">
        <f>307</f>
        <v>307</v>
      </c>
      <c r="G11" s="15">
        <f>D11-E11-F11-887+0.0003</f>
        <v>8060.0003</v>
      </c>
      <c r="H11" s="6">
        <f t="shared" si="0"/>
        <v>0.842100895385162</v>
      </c>
    </row>
    <row r="12" spans="1:8" ht="15">
      <c r="A12" s="23"/>
      <c r="B12" s="14" t="s">
        <v>15</v>
      </c>
      <c r="C12" s="5"/>
      <c r="D12" s="6">
        <f>11055</f>
        <v>11055</v>
      </c>
      <c r="E12" s="15">
        <f>11685</f>
        <v>11685</v>
      </c>
      <c r="F12" s="15">
        <f>348</f>
        <v>348</v>
      </c>
      <c r="G12" s="15">
        <f>D12-E12-F12+0.0004</f>
        <v>-977.9996</v>
      </c>
      <c r="H12" s="6">
        <f t="shared" si="0"/>
        <v>-0.10218043525957812</v>
      </c>
    </row>
    <row r="13" spans="1:8" ht="15">
      <c r="A13" s="24"/>
      <c r="B13" s="12" t="s">
        <v>11</v>
      </c>
      <c r="C13" s="12"/>
      <c r="D13" s="13">
        <f>SUM(D11:D12)</f>
        <v>42075</v>
      </c>
      <c r="E13" s="16">
        <f>SUM(E11:E12)</f>
        <v>33451</v>
      </c>
      <c r="F13" s="16">
        <f>SUM(F11:F12)</f>
        <v>655</v>
      </c>
      <c r="G13" s="16">
        <f>SUM(G11:G12)</f>
        <v>7082.0007</v>
      </c>
      <c r="H13" s="6">
        <f t="shared" si="0"/>
        <v>0.7399204601255838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8" sqref="C8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24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">
      <c r="A7" s="9">
        <v>1</v>
      </c>
      <c r="B7" s="10" t="s">
        <v>13</v>
      </c>
      <c r="C7" s="9"/>
      <c r="D7" s="11">
        <f>76.41</f>
        <v>76.41</v>
      </c>
      <c r="E7" s="11">
        <f>32.4581-9.273727+28.7607+0.5025+0.0005</f>
        <v>52.448073</v>
      </c>
      <c r="F7" s="11">
        <f>0.31+0.05</f>
        <v>0.36</v>
      </c>
      <c r="G7" s="15">
        <f>G8*0.0542-0.0005</f>
        <v>2.0722001399999996</v>
      </c>
      <c r="H7" s="6">
        <f aca="true" t="shared" si="0" ref="H7:H13">G7/9571.3</f>
        <v>0.00021650143031772066</v>
      </c>
      <c r="J7" s="7"/>
    </row>
    <row r="8" spans="1:10" ht="15">
      <c r="A8" s="3">
        <v>2</v>
      </c>
      <c r="B8" s="4" t="s">
        <v>8</v>
      </c>
      <c r="C8" s="6"/>
      <c r="D8" s="6">
        <f>1236.4</f>
        <v>1236.4</v>
      </c>
      <c r="E8" s="15">
        <f>598.4-170.666667+530.64+9.27</f>
        <v>967.643333</v>
      </c>
      <c r="F8" s="15">
        <f>1+5.76</f>
        <v>6.76</v>
      </c>
      <c r="G8" s="15">
        <f>38.2428-0.0011</f>
        <v>38.2417</v>
      </c>
      <c r="H8" s="6">
        <f t="shared" si="0"/>
        <v>0.003995455162830546</v>
      </c>
      <c r="J8" s="7"/>
    </row>
    <row r="9" spans="1:10" ht="15">
      <c r="A9" s="3">
        <v>3</v>
      </c>
      <c r="B9" s="4" t="s">
        <v>12</v>
      </c>
      <c r="C9" s="5" t="s">
        <v>25</v>
      </c>
      <c r="D9" s="5">
        <f>45748-44389</f>
        <v>1359</v>
      </c>
      <c r="E9" s="15">
        <f>631.47-180.42+712.36+54.01</f>
        <v>1217.42</v>
      </c>
      <c r="F9" s="15">
        <f>9</f>
        <v>9</v>
      </c>
      <c r="G9" s="15">
        <f>38.2428-0.0011</f>
        <v>38.2417</v>
      </c>
      <c r="H9" s="6">
        <f>G9/9571.3</f>
        <v>0.003995455162830546</v>
      </c>
      <c r="J9" s="7"/>
    </row>
    <row r="10" spans="1:8" ht="15">
      <c r="A10" s="3">
        <v>4</v>
      </c>
      <c r="B10" s="4" t="s">
        <v>9</v>
      </c>
      <c r="C10" s="5"/>
      <c r="D10" s="5">
        <f>D8+D9</f>
        <v>2595.4</v>
      </c>
      <c r="E10" s="15">
        <f>823.98+1074.25+149.22+104.46+33.1533</f>
        <v>2185.0633</v>
      </c>
      <c r="F10" s="15">
        <f>F8+F9</f>
        <v>15.76</v>
      </c>
      <c r="G10" s="1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25935</f>
        <v>25935</v>
      </c>
      <c r="E11" s="15">
        <f>19525</f>
        <v>19525</v>
      </c>
      <c r="F11" s="15">
        <f>43</f>
        <v>43</v>
      </c>
      <c r="G11" s="15">
        <f>D11-E11-F11-0.0007</f>
        <v>6366.9993</v>
      </c>
      <c r="H11" s="6">
        <f t="shared" si="0"/>
        <v>0.6652178178512846</v>
      </c>
    </row>
    <row r="12" spans="1:8" ht="15">
      <c r="A12" s="23"/>
      <c r="B12" s="14" t="s">
        <v>15</v>
      </c>
      <c r="C12" s="5"/>
      <c r="D12" s="6">
        <f>9945</f>
        <v>9945</v>
      </c>
      <c r="E12" s="15">
        <f>12765</f>
        <v>12765</v>
      </c>
      <c r="F12" s="15">
        <f>220</f>
        <v>220</v>
      </c>
      <c r="G12" s="15">
        <f>D12-E12-F12-0.0007</f>
        <v>-3040.0007</v>
      </c>
      <c r="H12" s="6">
        <f t="shared" si="0"/>
        <v>-0.31761627992017805</v>
      </c>
    </row>
    <row r="13" spans="1:8" ht="15">
      <c r="A13" s="24"/>
      <c r="B13" s="12" t="s">
        <v>11</v>
      </c>
      <c r="C13" s="12"/>
      <c r="D13" s="13">
        <f>SUM(D11:D12)</f>
        <v>35880</v>
      </c>
      <c r="E13" s="16">
        <f>SUM(E11:E12)</f>
        <v>32290</v>
      </c>
      <c r="F13" s="16">
        <f>SUM(F11:F12)</f>
        <v>263</v>
      </c>
      <c r="G13" s="16">
        <f>SUM(G11:G12)</f>
        <v>3326.9986000000004</v>
      </c>
      <c r="H13" s="6">
        <f t="shared" si="0"/>
        <v>0.3476015379311066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8" sqref="C8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26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">
      <c r="A7" s="9">
        <v>1</v>
      </c>
      <c r="B7" s="10" t="s">
        <v>13</v>
      </c>
      <c r="C7" s="9"/>
      <c r="D7" s="11">
        <f>69.24</f>
        <v>69.24</v>
      </c>
      <c r="E7" s="11">
        <f>30.7687-10.256186+28.0443+0.9087-0.0002</f>
        <v>49.465314000000006</v>
      </c>
      <c r="F7" s="11">
        <f>0.3+0.09</f>
        <v>0.39</v>
      </c>
      <c r="G7" s="15">
        <f>G8*0.0478-0.0001</f>
        <v>1.8278532600000001</v>
      </c>
      <c r="H7" s="6">
        <f aca="true" t="shared" si="0" ref="H7:H13">G7/9571.3</f>
        <v>0.00019097230888176112</v>
      </c>
      <c r="J7" s="7"/>
    </row>
    <row r="8" spans="1:10" ht="15">
      <c r="A8" s="3">
        <v>2</v>
      </c>
      <c r="B8" s="4" t="s">
        <v>8</v>
      </c>
      <c r="C8" s="6"/>
      <c r="D8" s="6">
        <f>1448.57</f>
        <v>1448.57</v>
      </c>
      <c r="E8" s="15">
        <f>643.07-214+586.7+19.01</f>
        <v>1034.7800000000002</v>
      </c>
      <c r="F8" s="15">
        <f>6.48+2</f>
        <v>8.48</v>
      </c>
      <c r="G8" s="15">
        <f>38.2428-0.0011</f>
        <v>38.2417</v>
      </c>
      <c r="H8" s="6">
        <f t="shared" si="0"/>
        <v>0.003995455162830546</v>
      </c>
      <c r="J8" s="7"/>
    </row>
    <row r="9" spans="1:10" ht="15">
      <c r="A9" s="3">
        <v>3</v>
      </c>
      <c r="B9" s="4" t="s">
        <v>12</v>
      </c>
      <c r="C9" s="5" t="s">
        <v>27</v>
      </c>
      <c r="D9" s="5">
        <f>1095</f>
        <v>1095</v>
      </c>
      <c r="E9" s="15">
        <f>683.38-227.48+736.02+20.33</f>
        <v>1212.25</v>
      </c>
      <c r="F9" s="15">
        <f>7</f>
        <v>7</v>
      </c>
      <c r="G9" s="15">
        <f>D9-E9-F9+5.0694</f>
        <v>-119.1806</v>
      </c>
      <c r="H9" s="6">
        <f t="shared" si="0"/>
        <v>-0.012451871741560708</v>
      </c>
      <c r="J9" s="7"/>
    </row>
    <row r="10" spans="1:8" ht="15">
      <c r="A10" s="3">
        <v>4</v>
      </c>
      <c r="B10" s="4" t="s">
        <v>9</v>
      </c>
      <c r="C10" s="5"/>
      <c r="D10" s="5">
        <f>D8+D9</f>
        <v>2543.5699999999997</v>
      </c>
      <c r="E10" s="15">
        <f>1248.32-441.48+1259.72+31.59+148.88</f>
        <v>2247.03</v>
      </c>
      <c r="F10" s="15">
        <f>F8+F9</f>
        <v>15.48</v>
      </c>
      <c r="G10" s="1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24840</f>
        <v>24840</v>
      </c>
      <c r="E11" s="15">
        <f>25777-292</f>
        <v>25485</v>
      </c>
      <c r="F11" s="15">
        <f>9</f>
        <v>9</v>
      </c>
      <c r="G11" s="15">
        <f>D11-E11-F11+0.0008</f>
        <v>-653.9992</v>
      </c>
      <c r="H11" s="6">
        <f t="shared" si="0"/>
        <v>-0.06832919248169006</v>
      </c>
    </row>
    <row r="12" spans="1:8" ht="15">
      <c r="A12" s="23"/>
      <c r="B12" s="14" t="s">
        <v>15</v>
      </c>
      <c r="C12" s="5"/>
      <c r="D12" s="6">
        <f>10020</f>
        <v>10020</v>
      </c>
      <c r="E12" s="15">
        <f>8623</f>
        <v>8623</v>
      </c>
      <c r="F12" s="15">
        <f>87</f>
        <v>87</v>
      </c>
      <c r="G12" s="15">
        <f>D12-E12-F12-0.0003</f>
        <v>1309.9997</v>
      </c>
      <c r="H12" s="6">
        <f t="shared" si="0"/>
        <v>0.13686747881687963</v>
      </c>
    </row>
    <row r="13" spans="1:8" ht="15">
      <c r="A13" s="24"/>
      <c r="B13" s="12" t="s">
        <v>11</v>
      </c>
      <c r="C13" s="12"/>
      <c r="D13" s="13">
        <f>SUM(D11:D12)</f>
        <v>34860</v>
      </c>
      <c r="E13" s="16">
        <f>SUM(E11:E12)</f>
        <v>34108</v>
      </c>
      <c r="F13" s="16">
        <f>SUM(F11:F12)</f>
        <v>96</v>
      </c>
      <c r="G13" s="16">
        <f>SUM(G11:G12)</f>
        <v>656.0005000000001</v>
      </c>
      <c r="H13" s="6">
        <f t="shared" si="0"/>
        <v>0.06853828633518959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3" sqref="A3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28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">
      <c r="A7" s="9">
        <v>1</v>
      </c>
      <c r="B7" s="10" t="s">
        <v>13</v>
      </c>
      <c r="C7" s="9"/>
      <c r="D7" s="11">
        <f>68.63</f>
        <v>68.63</v>
      </c>
      <c r="E7" s="11">
        <f>28.1766-8.050455+14.9681+0.9536-2.98272-0.0009</f>
        <v>33.064225</v>
      </c>
      <c r="F7" s="11">
        <f>0.3+0.04</f>
        <v>0.33999999999999997</v>
      </c>
      <c r="G7" s="15">
        <f>G8*0.0478-0.0001</f>
        <v>1.8278532600000001</v>
      </c>
      <c r="H7" s="6">
        <f aca="true" t="shared" si="0" ref="H7:H13">G7/9571.3</f>
        <v>0.00019097230888176112</v>
      </c>
      <c r="J7" s="7"/>
    </row>
    <row r="8" spans="1:10" ht="15">
      <c r="A8" s="3">
        <v>2</v>
      </c>
      <c r="B8" s="4" t="s">
        <v>8</v>
      </c>
      <c r="C8" s="6"/>
      <c r="D8" s="6">
        <f>1435.76</f>
        <v>1435.76</v>
      </c>
      <c r="E8" s="15">
        <f>589.05-168+313.14+19.95-62.4</f>
        <v>691.74</v>
      </c>
      <c r="F8" s="15">
        <f>6.7+1</f>
        <v>7.7</v>
      </c>
      <c r="G8" s="15">
        <f>38.2428-0.0011</f>
        <v>38.2417</v>
      </c>
      <c r="H8" s="6">
        <f t="shared" si="0"/>
        <v>0.003995455162830546</v>
      </c>
      <c r="J8" s="7"/>
    </row>
    <row r="9" spans="1:10" ht="15">
      <c r="A9" s="3">
        <v>3</v>
      </c>
      <c r="B9" s="4" t="s">
        <v>12</v>
      </c>
      <c r="C9" s="5" t="s">
        <v>29</v>
      </c>
      <c r="D9" s="5">
        <f>47841-46843</f>
        <v>998</v>
      </c>
      <c r="E9" s="15">
        <f>624.68-178.48+589.38+39.2-64.02</f>
        <v>1010.76</v>
      </c>
      <c r="F9" s="15">
        <f>6</f>
        <v>6</v>
      </c>
      <c r="G9" s="15">
        <f>D9-E9-F9+1.1159</f>
        <v>-17.64409999999999</v>
      </c>
      <c r="H9" s="6">
        <f t="shared" si="0"/>
        <v>-0.0018434381954384454</v>
      </c>
      <c r="J9" s="7"/>
    </row>
    <row r="10" spans="1:8" ht="15">
      <c r="A10" s="3">
        <v>4</v>
      </c>
      <c r="B10" s="4" t="s">
        <v>9</v>
      </c>
      <c r="C10" s="5"/>
      <c r="D10" s="5">
        <f>D8+D9</f>
        <v>2433.76</v>
      </c>
      <c r="E10" s="15">
        <f>1140.8-325.68+840.57+45.96+148.07-20.8-126.42</f>
        <v>1702.5</v>
      </c>
      <c r="F10" s="15">
        <f>F8+F9</f>
        <v>13.7</v>
      </c>
      <c r="G10" s="1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22785</f>
        <v>22785</v>
      </c>
      <c r="E11" s="15">
        <f>27559-690-1195</f>
        <v>25674</v>
      </c>
      <c r="F11" s="15">
        <f>12</f>
        <v>12</v>
      </c>
      <c r="G11" s="15">
        <f>D11-E11-F11+219.8078</f>
        <v>-2681.1922</v>
      </c>
      <c r="H11" s="6">
        <f t="shared" si="0"/>
        <v>-0.2801283211267017</v>
      </c>
    </row>
    <row r="12" spans="1:8" ht="15">
      <c r="A12" s="23"/>
      <c r="B12" s="14" t="s">
        <v>15</v>
      </c>
      <c r="C12" s="5"/>
      <c r="D12" s="6">
        <f>9240</f>
        <v>9240</v>
      </c>
      <c r="E12" s="15">
        <f>8230</f>
        <v>8230</v>
      </c>
      <c r="F12" s="15">
        <f>71</f>
        <v>71</v>
      </c>
      <c r="G12" s="15">
        <f>D12-E12-F12-115.9833</f>
        <v>823.0167</v>
      </c>
      <c r="H12" s="6">
        <f t="shared" si="0"/>
        <v>0.08598797446532865</v>
      </c>
    </row>
    <row r="13" spans="1:8" ht="15">
      <c r="A13" s="24"/>
      <c r="B13" s="12" t="s">
        <v>11</v>
      </c>
      <c r="C13" s="12"/>
      <c r="D13" s="13">
        <f>SUM(D11:D12)</f>
        <v>32025</v>
      </c>
      <c r="E13" s="16">
        <f>SUM(E11:E12)</f>
        <v>33904</v>
      </c>
      <c r="F13" s="16">
        <f>SUM(F11:F12)</f>
        <v>83</v>
      </c>
      <c r="G13" s="16">
        <f>SUM(G11:G12)</f>
        <v>-1858.1754999999998</v>
      </c>
      <c r="H13" s="6">
        <f t="shared" si="0"/>
        <v>-0.19414034666137306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0" sqref="C10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30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">
      <c r="A7" s="9">
        <v>1</v>
      </c>
      <c r="B7" s="10" t="s">
        <v>13</v>
      </c>
      <c r="C7" s="9"/>
      <c r="D7" s="11">
        <f>43.48</f>
        <v>43.48</v>
      </c>
      <c r="E7" s="11">
        <f>21.3877-6.110769+15.9678-2.1216-0.0002</f>
        <v>29.122930999999998</v>
      </c>
      <c r="F7" s="11">
        <f>0.13+0.04</f>
        <v>0.17</v>
      </c>
      <c r="G7" s="15">
        <f>38.2428*0.034-0.0001</f>
        <v>1.3001552000000003</v>
      </c>
      <c r="H7" s="6">
        <f aca="true" t="shared" si="0" ref="H7:H13">G7/9571.3</f>
        <v>0.00013583893514987518</v>
      </c>
      <c r="J7" s="7"/>
    </row>
    <row r="8" spans="1:10" ht="15">
      <c r="A8" s="3">
        <v>2</v>
      </c>
      <c r="B8" s="4" t="s">
        <v>8</v>
      </c>
      <c r="C8" s="6"/>
      <c r="D8" s="6">
        <f>840.7</f>
        <v>840.7</v>
      </c>
      <c r="E8" s="15">
        <f>628.32-179.2+469.64-62.4</f>
        <v>856.36</v>
      </c>
      <c r="F8" s="15">
        <f>3.9+1</f>
        <v>4.9</v>
      </c>
      <c r="G8" s="15">
        <f>D8-E8-F8+0.7948</f>
        <v>-19.765199999999968</v>
      </c>
      <c r="H8" s="6">
        <f t="shared" si="0"/>
        <v>-0.002065048634981661</v>
      </c>
      <c r="J8" s="7"/>
    </row>
    <row r="9" spans="1:10" ht="15">
      <c r="A9" s="3">
        <v>3</v>
      </c>
      <c r="B9" s="4" t="s">
        <v>12</v>
      </c>
      <c r="C9" s="5" t="s">
        <v>31</v>
      </c>
      <c r="D9" s="5">
        <f>49283-47841</f>
        <v>1442</v>
      </c>
      <c r="E9" s="15">
        <f>672.21-192.06+568.76+12.64-56.26</f>
        <v>1005.2900000000002</v>
      </c>
      <c r="F9" s="15">
        <f>7</f>
        <v>7</v>
      </c>
      <c r="G9" s="15">
        <f>38.2428-0.0011</f>
        <v>38.2417</v>
      </c>
      <c r="H9" s="6">
        <f t="shared" si="0"/>
        <v>0.003995455162830546</v>
      </c>
      <c r="J9" s="7"/>
    </row>
    <row r="10" spans="1:8" ht="15">
      <c r="A10" s="3">
        <v>4</v>
      </c>
      <c r="B10" s="4" t="s">
        <v>9</v>
      </c>
      <c r="C10" s="5"/>
      <c r="D10" s="5">
        <f>D8+D9</f>
        <v>2282.7</v>
      </c>
      <c r="E10" s="15">
        <f>1227.6-350.46+1123.24+2.85-2.12-20.8-118.66</f>
        <v>1861.6499999999999</v>
      </c>
      <c r="F10" s="15">
        <f>F8+F9</f>
        <v>11.9</v>
      </c>
      <c r="G10" s="1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25167</f>
        <v>25167</v>
      </c>
      <c r="E11" s="15">
        <f>29060-768-1242</f>
        <v>27050</v>
      </c>
      <c r="F11" s="15">
        <f>30</f>
        <v>30</v>
      </c>
      <c r="G11" s="15">
        <f>D11-E11-F11+99.4667</f>
        <v>-1813.5333</v>
      </c>
      <c r="H11" s="6">
        <f t="shared" si="0"/>
        <v>-0.1894761735605404</v>
      </c>
    </row>
    <row r="12" spans="1:8" ht="15">
      <c r="A12" s="23"/>
      <c r="B12" s="14" t="s">
        <v>15</v>
      </c>
      <c r="C12" s="5"/>
      <c r="D12" s="6">
        <f>10134</f>
        <v>10134</v>
      </c>
      <c r="E12" s="15">
        <f>8475</f>
        <v>8475</v>
      </c>
      <c r="F12" s="15">
        <f>120</f>
        <v>120</v>
      </c>
      <c r="G12" s="15">
        <f>D12-E12-F12-87.2202</f>
        <v>1451.7798</v>
      </c>
      <c r="H12" s="6">
        <f t="shared" si="0"/>
        <v>0.1516805240667412</v>
      </c>
    </row>
    <row r="13" spans="1:8" ht="15">
      <c r="A13" s="24"/>
      <c r="B13" s="12" t="s">
        <v>11</v>
      </c>
      <c r="C13" s="12"/>
      <c r="D13" s="13">
        <f>SUM(D11:D12)</f>
        <v>35301</v>
      </c>
      <c r="E13" s="16">
        <f>SUM(E11:E12)</f>
        <v>35525</v>
      </c>
      <c r="F13" s="16">
        <f>SUM(F11:F12)</f>
        <v>150</v>
      </c>
      <c r="G13" s="16">
        <f>SUM(G11:G12)</f>
        <v>-361.75350000000003</v>
      </c>
      <c r="H13" s="6">
        <f t="shared" si="0"/>
        <v>-0.037795649493799176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5.140625" style="0" customWidth="1"/>
    <col min="5" max="5" width="16.7109375" style="0" customWidth="1"/>
    <col min="6" max="6" width="15.57421875" style="0" customWidth="1"/>
    <col min="7" max="8" width="12.00390625" style="0" customWidth="1"/>
    <col min="9" max="9" width="9.57421875" style="0" bestFit="1" customWidth="1"/>
  </cols>
  <sheetData>
    <row r="3" spans="2:3" ht="15.75">
      <c r="B3" s="8" t="s">
        <v>32</v>
      </c>
      <c r="C3" s="8"/>
    </row>
    <row r="4" spans="1:8" ht="15">
      <c r="A4" s="27" t="s">
        <v>7</v>
      </c>
      <c r="B4" s="27"/>
      <c r="C4" s="27"/>
      <c r="D4" s="27"/>
      <c r="E4" s="27"/>
      <c r="F4" s="27"/>
      <c r="G4" s="27"/>
      <c r="H4" s="27"/>
    </row>
    <row r="5" spans="1:8" ht="71.25" customHeight="1">
      <c r="A5" s="28" t="s">
        <v>0</v>
      </c>
      <c r="B5" s="25" t="s">
        <v>1</v>
      </c>
      <c r="C5" s="28" t="s">
        <v>2</v>
      </c>
      <c r="D5" s="28" t="s">
        <v>10</v>
      </c>
      <c r="E5" s="28" t="s">
        <v>3</v>
      </c>
      <c r="F5" s="28" t="s">
        <v>4</v>
      </c>
      <c r="G5" s="28" t="s">
        <v>5</v>
      </c>
      <c r="H5" s="25" t="s">
        <v>6</v>
      </c>
    </row>
    <row r="6" spans="1:8" ht="15" customHeight="1">
      <c r="A6" s="29"/>
      <c r="B6" s="26"/>
      <c r="C6" s="29"/>
      <c r="D6" s="29"/>
      <c r="E6" s="29"/>
      <c r="F6" s="29"/>
      <c r="G6" s="29"/>
      <c r="H6" s="26"/>
    </row>
    <row r="7" spans="1:10" ht="15">
      <c r="A7" s="9">
        <v>1</v>
      </c>
      <c r="B7" s="10" t="s">
        <v>13</v>
      </c>
      <c r="C7" s="9"/>
      <c r="D7" s="11">
        <f>64.06</f>
        <v>64.06</v>
      </c>
      <c r="E7" s="11">
        <f>29.0605-8.303043+18.832+0.3945+0.001</f>
        <v>39.984957</v>
      </c>
      <c r="F7" s="11">
        <f>0.25</f>
        <v>0.25</v>
      </c>
      <c r="G7" s="15">
        <f>38.2428*0.0462-0.0005</f>
        <v>1.7663173600000002</v>
      </c>
      <c r="H7" s="6">
        <f>G7/9570.7</f>
        <v>0.00018455466789263063</v>
      </c>
      <c r="J7" s="7"/>
    </row>
    <row r="8" spans="1:10" ht="15">
      <c r="A8" s="3">
        <v>2</v>
      </c>
      <c r="B8" s="4" t="s">
        <v>8</v>
      </c>
      <c r="C8" s="6"/>
      <c r="D8" s="6">
        <f>1168.6</f>
        <v>1168.6</v>
      </c>
      <c r="E8" s="15">
        <f>628.32-179.2+407.62+8.54</f>
        <v>865.28</v>
      </c>
      <c r="F8" s="15">
        <f>5.42</f>
        <v>5.42</v>
      </c>
      <c r="G8" s="15">
        <f>38.2428</f>
        <v>38.2428</v>
      </c>
      <c r="H8" s="6">
        <f aca="true" t="shared" si="0" ref="H8:H13">G8/9570.7</f>
        <v>0.003995820577387234</v>
      </c>
      <c r="J8" s="7"/>
    </row>
    <row r="9" spans="1:10" ht="15">
      <c r="A9" s="3">
        <v>3</v>
      </c>
      <c r="B9" s="4" t="s">
        <v>12</v>
      </c>
      <c r="C9" s="5" t="s">
        <v>33</v>
      </c>
      <c r="D9" s="5">
        <f>50548-49283</f>
        <v>1265</v>
      </c>
      <c r="E9" s="15">
        <f>672.21-192.06+456.08+23.03</f>
        <v>959.26</v>
      </c>
      <c r="F9" s="15">
        <f>9</f>
        <v>9</v>
      </c>
      <c r="G9" s="15">
        <f>38.2428</f>
        <v>38.2428</v>
      </c>
      <c r="H9" s="6">
        <f t="shared" si="0"/>
        <v>0.003995820577387234</v>
      </c>
      <c r="J9" s="7"/>
    </row>
    <row r="10" spans="1:8" ht="15">
      <c r="A10" s="3">
        <v>4</v>
      </c>
      <c r="B10" s="4" t="s">
        <v>9</v>
      </c>
      <c r="C10" s="5"/>
      <c r="D10" s="5">
        <f>D8+D9</f>
        <v>2433.6</v>
      </c>
      <c r="E10" s="15">
        <f>1227.6-350.46+833.3+13.53+121.37-20.8</f>
        <v>1824.5399999999997</v>
      </c>
      <c r="F10" s="15">
        <f>F8+F9</f>
        <v>14.42</v>
      </c>
      <c r="G10" s="15">
        <v>0</v>
      </c>
      <c r="H10" s="6">
        <f t="shared" si="0"/>
        <v>0</v>
      </c>
    </row>
    <row r="11" spans="1:8" ht="15">
      <c r="A11" s="22">
        <v>5</v>
      </c>
      <c r="B11" s="14" t="s">
        <v>14</v>
      </c>
      <c r="C11" s="5"/>
      <c r="D11" s="6">
        <f>31773</f>
        <v>31773</v>
      </c>
      <c r="E11" s="5">
        <f>30894-1324</f>
        <v>29570</v>
      </c>
      <c r="F11" s="5">
        <f>31</f>
        <v>31</v>
      </c>
      <c r="G11" s="5">
        <f>D11-E11-F11+0.0013</f>
        <v>2172.0013</v>
      </c>
      <c r="H11" s="6">
        <f t="shared" si="0"/>
        <v>0.22694278370443122</v>
      </c>
    </row>
    <row r="12" spans="1:8" ht="15">
      <c r="A12" s="23"/>
      <c r="B12" s="14" t="s">
        <v>15</v>
      </c>
      <c r="C12" s="5"/>
      <c r="D12" s="6">
        <f>12141</f>
        <v>12141</v>
      </c>
      <c r="E12" s="5">
        <f>7913</f>
        <v>7913</v>
      </c>
      <c r="F12" s="5">
        <f>122</f>
        <v>122</v>
      </c>
      <c r="G12" s="5">
        <f>D12-E12-F12-0.0027</f>
        <v>4105.9973</v>
      </c>
      <c r="H12" s="6">
        <f t="shared" si="0"/>
        <v>0.42901744908940825</v>
      </c>
    </row>
    <row r="13" spans="1:8" ht="15">
      <c r="A13" s="24"/>
      <c r="B13" s="12" t="s">
        <v>11</v>
      </c>
      <c r="C13" s="12"/>
      <c r="D13" s="13">
        <f>SUM(D11:D12)</f>
        <v>43914</v>
      </c>
      <c r="E13" s="16">
        <f>SUM(E11:E12)</f>
        <v>37483</v>
      </c>
      <c r="F13" s="16">
        <f>SUM(F11:F12)</f>
        <v>153</v>
      </c>
      <c r="G13" s="16">
        <f>SUM(G11:G12)</f>
        <v>6277.9986</v>
      </c>
      <c r="H13" s="6">
        <f t="shared" si="0"/>
        <v>0.6559602327938394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2013-01-11T04:39:17Z</cp:lastPrinted>
  <dcterms:created xsi:type="dcterms:W3CDTF">2006-09-16T00:00:00Z</dcterms:created>
  <dcterms:modified xsi:type="dcterms:W3CDTF">2017-01-31T11:57:16Z</dcterms:modified>
  <cp:category/>
  <cp:version/>
  <cp:contentType/>
  <cp:contentStatus/>
</cp:coreProperties>
</file>