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8" activeTab="11"/>
  </bookViews>
  <sheets>
    <sheet name="63.5 (январь) " sheetId="1" r:id="rId1"/>
    <sheet name="63.5 (февраль)" sheetId="2" r:id="rId2"/>
    <sheet name="63.5 (март)" sheetId="3" r:id="rId3"/>
    <sheet name="63.5 (апрель)" sheetId="4" r:id="rId4"/>
    <sheet name="63.5 (май)" sheetId="5" r:id="rId5"/>
    <sheet name="63.5 (июнь)" sheetId="6" r:id="rId6"/>
    <sheet name="63.5 (июль)" sheetId="7" r:id="rId7"/>
    <sheet name="63.5 (август)" sheetId="8" r:id="rId8"/>
    <sheet name="63.5 (сентябрь)" sheetId="9" r:id="rId9"/>
    <sheet name="63.5 (октябрь)" sheetId="10" r:id="rId10"/>
    <sheet name="63.5 (ноябрь)" sheetId="11" r:id="rId11"/>
    <sheet name="63.5 (декабрь)" sheetId="12" r:id="rId12"/>
  </sheets>
  <definedNames/>
  <calcPr fullCalcOnLoad="1"/>
</workbook>
</file>

<file path=xl/sharedStrings.xml><?xml version="1.0" encoding="utf-8"?>
<sst xmlns="http://schemas.openxmlformats.org/spreadsheetml/2006/main" count="336" uniqueCount="53">
  <si>
    <t xml:space="preserve"> </t>
  </si>
  <si>
    <t>Услуга</t>
  </si>
  <si>
    <t xml:space="preserve">показания общедомового прибора учета </t>
  </si>
  <si>
    <t>начисление по индивидуальным приборам учета и нормативу</t>
  </si>
  <si>
    <t>начисление сторонним потребителям</t>
  </si>
  <si>
    <t>итого к предъявлению ОДН</t>
  </si>
  <si>
    <t>на 1 кв.м</t>
  </si>
  <si>
    <t>показания прибора учета (моп, лифты, дымоудаление)</t>
  </si>
  <si>
    <t>Викулова 63-5</t>
  </si>
  <si>
    <t>ГВС (тонн)</t>
  </si>
  <si>
    <t>водоотведение(тонн)</t>
  </si>
  <si>
    <t>объем потребления</t>
  </si>
  <si>
    <t>эл.эн.день № сч.693636</t>
  </si>
  <si>
    <t>эл.эн.ночь № сч.693639</t>
  </si>
  <si>
    <t>эл.эн.ночь № сч.693636</t>
  </si>
  <si>
    <t>эл.эн.день № сч.693639</t>
  </si>
  <si>
    <t>показание 1</t>
  </si>
  <si>
    <t>показание 2</t>
  </si>
  <si>
    <t>итого по эл.эн.</t>
  </si>
  <si>
    <t>день эл.эн.</t>
  </si>
  <si>
    <t>ночь эл.эн.</t>
  </si>
  <si>
    <t>./</t>
  </si>
  <si>
    <t>ХВС (тонн)</t>
  </si>
  <si>
    <t>нагрев воды (Г.кал.)</t>
  </si>
  <si>
    <t>эл.эн.день № сч.701434</t>
  </si>
  <si>
    <t>эл.эн.ночь № сч.701434</t>
  </si>
  <si>
    <t>Объем коммунальных услуг по показаниям общедомовых приборов учета (ОДН) за январь в феврале 2014г.</t>
  </si>
  <si>
    <t>32933,36,/33215,49</t>
  </si>
  <si>
    <t>Объем коммунальных услуг по показаниям общедомовых приборов учета (ОДН) за февраль в марте 2014г.</t>
  </si>
  <si>
    <t>33394,47,33850,10</t>
  </si>
  <si>
    <t>Объем коммунальных услуг по показаниям общедомовых приборов учета (ОДН) за март в апреле 2014г.</t>
  </si>
  <si>
    <t>34015,37,/34424,23</t>
  </si>
  <si>
    <t>Объем коммунальных услуг по показаниям общедомовых приборов учета (ОДН) за апрель в мае 2014г.</t>
  </si>
  <si>
    <t>ГВС (м3)</t>
  </si>
  <si>
    <t>ХВС (м3)</t>
  </si>
  <si>
    <t>34610,44,/35031,58</t>
  </si>
  <si>
    <t>водоотведение(м3)</t>
  </si>
  <si>
    <t>Объем коммунальных услуг по показаниям общедомовых приборов учета (ОДН) за май в июне 2014г.</t>
  </si>
  <si>
    <t>35031,58,/35439,47</t>
  </si>
  <si>
    <t>Объем коммунальных услуг по показаниям общедомовых приборов учета (ОДН) за июнь в июле 2014г.</t>
  </si>
  <si>
    <t>35418,06/35752,12</t>
  </si>
  <si>
    <t>Объем коммунальных услуг по показаниям общедомовых приборов учета (ОДН) за июль в августе 2014г.</t>
  </si>
  <si>
    <t>35752,12,/36098,35</t>
  </si>
  <si>
    <t>Объем коммунальных услуг по показаниям общедомовых приборов учета (ОДН) за август в сентябре 2014г.</t>
  </si>
  <si>
    <t>36686,80,/37089,25</t>
  </si>
  <si>
    <t>Объем коммунальных услуг по показаниям общедомовых приборов учета (ОДН) за сентябрь в октябре 2014г.</t>
  </si>
  <si>
    <t>17*24,166; 36300,64/36483,90</t>
  </si>
  <si>
    <t>Объем коммунальных услуг по показаниям общедомовых приборов учета (ОДН) за октябрь в ноябре 2014г.</t>
  </si>
  <si>
    <t>8*23,678, 36310,021/36591,444</t>
  </si>
  <si>
    <t>Объем коммунальных услуг по показаниям общедомовых приборов учета (ОДН) за ноябрь в декабре 2014г.</t>
  </si>
  <si>
    <t>36768,792,/37194,281</t>
  </si>
  <si>
    <t>Объем коммунальных услуг по показаниям общедомовых приборов учета (ОДН) за декабрь в январе 2014г.</t>
  </si>
  <si>
    <t>37392,758,/37932,229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</si>
</sst>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#&quot; &quot;???/???"/>
    <numFmt numFmtId="167" formatCode="[$-FC19]d\ mmmm\ yyyy\ &quot;г.&quot;"/>
    <numFmt numFmtId="168" formatCode="0.0"/>
    <numFmt numFmtId="169" formatCode="0.000"/>
    <numFmt numFmtId="170" formatCode="0.0000"/>
    <numFmt numFmtId="171" formatCode="#,##0.0000"/>
  </numFmts>
  <fonts count="19"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 wrapText="1"/>
    </xf>
    <xf numFmtId="4" fontId="0" fillId="24" borderId="10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170" fontId="0" fillId="0" borderId="0" xfId="0" applyNumberFormat="1" applyAlignment="1">
      <alignment/>
    </xf>
    <xf numFmtId="169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2" fontId="0" fillId="0" borderId="12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center"/>
    </xf>
    <xf numFmtId="4" fontId="0" fillId="0" borderId="0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left"/>
    </xf>
    <xf numFmtId="0" fontId="1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2" fontId="0" fillId="24" borderId="12" xfId="0" applyNumberFormat="1" applyFont="1" applyFill="1" applyBorder="1" applyAlignment="1">
      <alignment horizontal="center" vertical="center" wrapText="1"/>
    </xf>
    <xf numFmtId="4" fontId="0" fillId="24" borderId="10" xfId="0" applyNumberForma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31"/>
  <sheetViews>
    <sheetView zoomScalePageLayoutView="0" workbookViewId="0" topLeftCell="A1">
      <pane xSplit="4" ySplit="10" topLeftCell="E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C8" sqref="C8"/>
    </sheetView>
  </sheetViews>
  <sheetFormatPr defaultColWidth="9.140625" defaultRowHeight="15"/>
  <cols>
    <col min="1" max="1" width="5.00390625" style="0" customWidth="1"/>
    <col min="2" max="2" width="25.00390625" style="0" customWidth="1"/>
    <col min="3" max="3" width="18.140625" style="0" customWidth="1"/>
    <col min="4" max="4" width="15.57421875" style="0" customWidth="1"/>
    <col min="5" max="5" width="15.140625" style="0" customWidth="1"/>
    <col min="6" max="6" width="15.57421875" style="0" customWidth="1"/>
    <col min="7" max="7" width="16.7109375" style="0" customWidth="1"/>
    <col min="8" max="8" width="15.8515625" style="0" customWidth="1"/>
    <col min="9" max="9" width="12.421875" style="0" customWidth="1"/>
    <col min="10" max="10" width="13.8515625" style="0" customWidth="1"/>
    <col min="11" max="11" width="9.57421875" style="0" bestFit="1" customWidth="1"/>
  </cols>
  <sheetData>
    <row r="3" ht="15.75">
      <c r="C3" s="13" t="s">
        <v>26</v>
      </c>
    </row>
    <row r="4" spans="1:10" ht="15">
      <c r="A4" s="31" t="s">
        <v>8</v>
      </c>
      <c r="B4" s="31"/>
      <c r="C4" s="31"/>
      <c r="D4" s="31"/>
      <c r="E4" s="31"/>
      <c r="F4" s="31"/>
      <c r="G4" s="31"/>
      <c r="H4" s="31"/>
      <c r="I4" s="31"/>
      <c r="J4" s="31"/>
    </row>
    <row r="5" spans="1:10" ht="76.5" customHeight="1">
      <c r="A5" s="27" t="s">
        <v>0</v>
      </c>
      <c r="B5" s="29" t="s">
        <v>1</v>
      </c>
      <c r="C5" s="27" t="s">
        <v>2</v>
      </c>
      <c r="D5" s="32" t="s">
        <v>7</v>
      </c>
      <c r="E5" s="33"/>
      <c r="F5" s="27" t="s">
        <v>11</v>
      </c>
      <c r="G5" s="27" t="s">
        <v>3</v>
      </c>
      <c r="H5" s="27" t="s">
        <v>4</v>
      </c>
      <c r="I5" s="27" t="s">
        <v>5</v>
      </c>
      <c r="J5" s="29" t="s">
        <v>6</v>
      </c>
    </row>
    <row r="6" spans="1:10" ht="15.75">
      <c r="A6" s="28"/>
      <c r="B6" s="30"/>
      <c r="C6" s="28"/>
      <c r="D6" s="14" t="s">
        <v>16</v>
      </c>
      <c r="E6" s="15" t="s">
        <v>17</v>
      </c>
      <c r="F6" s="28"/>
      <c r="G6" s="28"/>
      <c r="H6" s="28"/>
      <c r="I6" s="28"/>
      <c r="J6" s="30"/>
    </row>
    <row r="7" spans="1:12" ht="15">
      <c r="A7" s="16">
        <v>1</v>
      </c>
      <c r="B7" s="17" t="s">
        <v>23</v>
      </c>
      <c r="C7" s="16"/>
      <c r="D7" s="18"/>
      <c r="E7" s="19"/>
      <c r="F7" s="20">
        <f>21.28+1.92</f>
        <v>23.200000000000003</v>
      </c>
      <c r="G7" s="20">
        <f>G8*0.0478</f>
        <v>12.40184862</v>
      </c>
      <c r="H7" s="20">
        <f>1.92</f>
        <v>1.92</v>
      </c>
      <c r="I7" s="5">
        <f>10.0372*0.0478</f>
        <v>0.47977816000000006</v>
      </c>
      <c r="J7" s="6">
        <f aca="true" t="shared" si="0" ref="J7:J19">I7/2645.8</f>
        <v>0.00018133576234031297</v>
      </c>
      <c r="L7" s="10"/>
    </row>
    <row r="8" spans="1:12" ht="15">
      <c r="A8" s="2">
        <v>2</v>
      </c>
      <c r="B8" s="3" t="s">
        <v>9</v>
      </c>
      <c r="C8" s="6"/>
      <c r="D8" s="4"/>
      <c r="E8" s="4"/>
      <c r="F8" s="6">
        <f>202.65+16.65</f>
        <v>219.3</v>
      </c>
      <c r="G8" s="5">
        <f>185.0329+70.82+3.6</f>
        <v>259.4529</v>
      </c>
      <c r="H8" s="5">
        <f>16.65</f>
        <v>16.65</v>
      </c>
      <c r="I8" s="5">
        <f>F8-G8-H8</f>
        <v>-56.80289999999999</v>
      </c>
      <c r="J8" s="6">
        <f t="shared" si="0"/>
        <v>-0.021469083075062356</v>
      </c>
      <c r="L8" s="10"/>
    </row>
    <row r="9" spans="1:12" ht="15.75" customHeight="1">
      <c r="A9" s="2">
        <v>3</v>
      </c>
      <c r="B9" s="3" t="s">
        <v>22</v>
      </c>
      <c r="C9" s="5" t="s">
        <v>27</v>
      </c>
      <c r="D9" s="4"/>
      <c r="E9" s="4"/>
      <c r="F9" s="5">
        <f>282.134</f>
        <v>282.134</v>
      </c>
      <c r="G9" s="5">
        <f>218.9429+89.26+2.42</f>
        <v>310.6229</v>
      </c>
      <c r="H9" s="5">
        <f>12</f>
        <v>12</v>
      </c>
      <c r="I9" s="5">
        <f>F9-G9-H9</f>
        <v>-40.4889</v>
      </c>
      <c r="J9" s="6">
        <f t="shared" si="0"/>
        <v>-0.01530308413334341</v>
      </c>
      <c r="L9" s="10"/>
    </row>
    <row r="10" spans="1:10" ht="15">
      <c r="A10" s="2">
        <v>4</v>
      </c>
      <c r="B10" s="3" t="s">
        <v>10</v>
      </c>
      <c r="C10" s="5"/>
      <c r="D10" s="4"/>
      <c r="E10" s="4"/>
      <c r="F10" s="5">
        <f>F8+F9</f>
        <v>501.434</v>
      </c>
      <c r="G10" s="5">
        <f>373.3857+149.29+6.02+23.53+17.85</f>
        <v>570.0757</v>
      </c>
      <c r="H10" s="5">
        <f>H8+H9</f>
        <v>28.65</v>
      </c>
      <c r="I10" s="5">
        <v>0</v>
      </c>
      <c r="J10" s="6">
        <f t="shared" si="0"/>
        <v>0</v>
      </c>
    </row>
    <row r="11" spans="1:10" ht="15">
      <c r="A11" s="24">
        <v>5</v>
      </c>
      <c r="B11" s="3" t="s">
        <v>12</v>
      </c>
      <c r="C11" s="5"/>
      <c r="D11" s="7">
        <v>8242</v>
      </c>
      <c r="E11" s="7">
        <v>8313</v>
      </c>
      <c r="F11" s="6">
        <f>(E11-D11)*6</f>
        <v>426</v>
      </c>
      <c r="G11" s="5">
        <v>0</v>
      </c>
      <c r="H11" s="5">
        <v>0</v>
      </c>
      <c r="I11" s="5">
        <f aca="true" t="shared" si="1" ref="I11:I16">F11-G11-H11</f>
        <v>426</v>
      </c>
      <c r="J11" s="6">
        <f t="shared" si="0"/>
        <v>0.16100990248696045</v>
      </c>
    </row>
    <row r="12" spans="1:10" ht="15">
      <c r="A12" s="25"/>
      <c r="B12" s="3" t="s">
        <v>14</v>
      </c>
      <c r="C12" s="5"/>
      <c r="D12" s="7">
        <v>3934</v>
      </c>
      <c r="E12" s="7">
        <v>3967</v>
      </c>
      <c r="F12" s="6">
        <f>(E12-D12)*6</f>
        <v>198</v>
      </c>
      <c r="G12" s="5">
        <v>0</v>
      </c>
      <c r="H12" s="5">
        <v>0</v>
      </c>
      <c r="I12" s="5">
        <f t="shared" si="1"/>
        <v>198</v>
      </c>
      <c r="J12" s="6">
        <f t="shared" si="0"/>
        <v>0.07483558847985486</v>
      </c>
    </row>
    <row r="13" spans="1:10" ht="15">
      <c r="A13" s="25"/>
      <c r="B13" s="3" t="s">
        <v>15</v>
      </c>
      <c r="C13" s="5"/>
      <c r="D13" s="7">
        <v>6155</v>
      </c>
      <c r="E13" s="7">
        <v>6217</v>
      </c>
      <c r="F13" s="6">
        <f>(E13-D13)*15</f>
        <v>930</v>
      </c>
      <c r="G13" s="5">
        <v>0</v>
      </c>
      <c r="H13" s="5">
        <v>0</v>
      </c>
      <c r="I13" s="5">
        <f t="shared" si="1"/>
        <v>930</v>
      </c>
      <c r="J13" s="6">
        <f t="shared" si="0"/>
        <v>0.35150049134477285</v>
      </c>
    </row>
    <row r="14" spans="1:10" ht="15">
      <c r="A14" s="25"/>
      <c r="B14" s="3" t="s">
        <v>13</v>
      </c>
      <c r="C14" s="5"/>
      <c r="D14" s="7">
        <v>8398</v>
      </c>
      <c r="E14" s="7">
        <v>8478</v>
      </c>
      <c r="F14" s="6">
        <f>(E14-D14)*15</f>
        <v>1200</v>
      </c>
      <c r="G14" s="5">
        <v>0</v>
      </c>
      <c r="H14" s="5">
        <v>0</v>
      </c>
      <c r="I14" s="5">
        <f t="shared" si="1"/>
        <v>1200</v>
      </c>
      <c r="J14" s="6">
        <f t="shared" si="0"/>
        <v>0.4535490210900294</v>
      </c>
    </row>
    <row r="15" spans="1:12" ht="15">
      <c r="A15" s="25"/>
      <c r="B15" s="3" t="s">
        <v>24</v>
      </c>
      <c r="C15" s="5"/>
      <c r="D15" s="7">
        <v>25228</v>
      </c>
      <c r="E15" s="7">
        <v>25432</v>
      </c>
      <c r="F15" s="6">
        <f>(E15-D15)*1</f>
        <v>204</v>
      </c>
      <c r="G15" s="5">
        <v>0</v>
      </c>
      <c r="H15" s="5">
        <v>0</v>
      </c>
      <c r="I15" s="5">
        <f t="shared" si="1"/>
        <v>204</v>
      </c>
      <c r="J15" s="6">
        <f t="shared" si="0"/>
        <v>0.07710333358530501</v>
      </c>
      <c r="L15" s="10"/>
    </row>
    <row r="16" spans="1:12" ht="15">
      <c r="A16" s="25"/>
      <c r="B16" s="3" t="s">
        <v>25</v>
      </c>
      <c r="C16" s="5"/>
      <c r="D16" s="7">
        <v>26957</v>
      </c>
      <c r="E16" s="7">
        <v>27171</v>
      </c>
      <c r="F16" s="6">
        <f>(E16-D16)*1</f>
        <v>214</v>
      </c>
      <c r="G16" s="5">
        <v>0</v>
      </c>
      <c r="H16" s="5">
        <v>0</v>
      </c>
      <c r="I16" s="5">
        <f t="shared" si="1"/>
        <v>214</v>
      </c>
      <c r="J16" s="6">
        <f t="shared" si="0"/>
        <v>0.08088290876105525</v>
      </c>
      <c r="K16" s="11"/>
      <c r="L16" s="10"/>
    </row>
    <row r="17" spans="1:10" ht="15">
      <c r="A17" s="26"/>
      <c r="B17" s="21" t="s">
        <v>18</v>
      </c>
      <c r="C17" s="21"/>
      <c r="D17" s="8"/>
      <c r="E17" s="21"/>
      <c r="F17" s="22">
        <f>SUM(F11:F16)</f>
        <v>3172</v>
      </c>
      <c r="G17" s="22">
        <f>SUM(G11:G16)</f>
        <v>0</v>
      </c>
      <c r="H17" s="22">
        <f>SUM(H11:H16)</f>
        <v>0</v>
      </c>
      <c r="I17" s="22">
        <f>SUM(I11:I16)</f>
        <v>3172</v>
      </c>
      <c r="J17" s="6">
        <f t="shared" si="0"/>
        <v>1.1988812457479778</v>
      </c>
    </row>
    <row r="18" spans="1:10" ht="15">
      <c r="A18" s="1"/>
      <c r="B18" s="1"/>
      <c r="C18" s="1"/>
      <c r="D18" s="1"/>
      <c r="E18" s="1" t="s">
        <v>19</v>
      </c>
      <c r="F18" s="23">
        <f aca="true" t="shared" si="2" ref="F18:I19">F11+F13+F15</f>
        <v>1560</v>
      </c>
      <c r="G18" s="23">
        <f t="shared" si="2"/>
        <v>0</v>
      </c>
      <c r="H18" s="23">
        <f t="shared" si="2"/>
        <v>0</v>
      </c>
      <c r="I18" s="23">
        <f t="shared" si="2"/>
        <v>1560</v>
      </c>
      <c r="J18" s="6">
        <f t="shared" si="0"/>
        <v>0.5896137274170383</v>
      </c>
    </row>
    <row r="19" spans="1:10" ht="15">
      <c r="A19" s="1"/>
      <c r="B19" s="1"/>
      <c r="C19" s="12"/>
      <c r="D19" s="1"/>
      <c r="E19" s="1" t="s">
        <v>20</v>
      </c>
      <c r="F19" s="9">
        <f t="shared" si="2"/>
        <v>1612</v>
      </c>
      <c r="G19" s="9">
        <f t="shared" si="2"/>
        <v>0</v>
      </c>
      <c r="H19" s="9">
        <f t="shared" si="2"/>
        <v>0</v>
      </c>
      <c r="I19" s="9">
        <f t="shared" si="2"/>
        <v>1612</v>
      </c>
      <c r="J19" s="6">
        <f t="shared" si="0"/>
        <v>0.6092675183309395</v>
      </c>
    </row>
    <row r="20" spans="1:8" ht="15">
      <c r="A20" s="1"/>
      <c r="B20" s="1"/>
      <c r="C20" s="1"/>
      <c r="D20" s="1"/>
      <c r="E20" s="1"/>
      <c r="F20" s="1"/>
      <c r="G20" s="1"/>
      <c r="H20" s="1"/>
    </row>
    <row r="21" spans="1:8" ht="15">
      <c r="A21" s="1"/>
      <c r="B21" s="1"/>
      <c r="C21" s="1"/>
      <c r="D21" s="1"/>
      <c r="E21" s="1"/>
      <c r="F21" s="1"/>
      <c r="G21" s="1"/>
      <c r="H21" s="1"/>
    </row>
    <row r="22" spans="1:8" ht="15">
      <c r="A22" s="1"/>
      <c r="B22" s="1"/>
      <c r="C22" s="1"/>
      <c r="D22" s="1"/>
      <c r="E22" s="1"/>
      <c r="F22" s="1"/>
      <c r="G22" s="1"/>
      <c r="H22" s="1"/>
    </row>
    <row r="23" spans="1:8" ht="15">
      <c r="A23" s="1"/>
      <c r="B23" s="1"/>
      <c r="C23" s="1"/>
      <c r="D23" s="1"/>
      <c r="E23" s="1"/>
      <c r="F23" s="1"/>
      <c r="G23" s="1"/>
      <c r="H23" s="1"/>
    </row>
    <row r="24" spans="1:8" ht="15">
      <c r="A24" s="1"/>
      <c r="B24" s="1"/>
      <c r="C24" s="1"/>
      <c r="D24" s="1"/>
      <c r="E24" s="1"/>
      <c r="F24" s="1"/>
      <c r="G24" s="1"/>
      <c r="H24" s="1"/>
    </row>
    <row r="25" spans="1:9" ht="15">
      <c r="A25" s="1"/>
      <c r="B25" s="1"/>
      <c r="C25" s="1"/>
      <c r="D25" s="1"/>
      <c r="E25" s="1"/>
      <c r="F25" s="1"/>
      <c r="G25" s="1"/>
      <c r="H25" s="1"/>
      <c r="I25" t="s">
        <v>21</v>
      </c>
    </row>
    <row r="26" spans="1:8" ht="15">
      <c r="A26" s="1"/>
      <c r="B26" s="1"/>
      <c r="C26" s="1"/>
      <c r="D26" s="1"/>
      <c r="E26" s="1"/>
      <c r="F26" s="1"/>
      <c r="G26" s="1"/>
      <c r="H26" s="1"/>
    </row>
    <row r="27" spans="1:8" ht="15">
      <c r="A27" s="1"/>
      <c r="B27" s="1"/>
      <c r="C27" s="1"/>
      <c r="D27" s="1"/>
      <c r="E27" s="1"/>
      <c r="F27" s="1"/>
      <c r="G27" s="1"/>
      <c r="H27" s="1"/>
    </row>
    <row r="28" spans="1:8" ht="15">
      <c r="A28" s="1"/>
      <c r="B28" s="1"/>
      <c r="C28" s="1"/>
      <c r="D28" s="1"/>
      <c r="E28" s="1"/>
      <c r="F28" s="1"/>
      <c r="G28" s="1"/>
      <c r="H28" s="1"/>
    </row>
    <row r="29" spans="1:8" ht="15">
      <c r="A29" s="1"/>
      <c r="B29" s="1"/>
      <c r="C29" s="1"/>
      <c r="D29" s="1"/>
      <c r="E29" s="1"/>
      <c r="F29" s="1"/>
      <c r="G29" s="1"/>
      <c r="H29" s="1"/>
    </row>
    <row r="30" spans="1:8" ht="15">
      <c r="A30" s="1"/>
      <c r="B30" s="1"/>
      <c r="C30" s="1"/>
      <c r="D30" s="1"/>
      <c r="E30" s="1"/>
      <c r="F30" s="1"/>
      <c r="G30" s="1"/>
      <c r="H30" s="1"/>
    </row>
    <row r="31" spans="1:8" ht="15">
      <c r="A31" s="1"/>
      <c r="B31" s="1"/>
      <c r="C31" s="1"/>
      <c r="D31" s="1"/>
      <c r="E31" s="1"/>
      <c r="F31" s="1"/>
      <c r="G31" s="1"/>
      <c r="H31" s="1"/>
    </row>
  </sheetData>
  <sheetProtection/>
  <mergeCells count="11">
    <mergeCell ref="H5:H6"/>
    <mergeCell ref="A11:A17"/>
    <mergeCell ref="I5:I6"/>
    <mergeCell ref="J5:J6"/>
    <mergeCell ref="A4:J4"/>
    <mergeCell ref="A5:A6"/>
    <mergeCell ref="B5:B6"/>
    <mergeCell ref="C5:C6"/>
    <mergeCell ref="D5:E5"/>
    <mergeCell ref="F5:F6"/>
    <mergeCell ref="G5:G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L31"/>
  <sheetViews>
    <sheetView zoomScalePageLayoutView="0" workbookViewId="0" topLeftCell="A1">
      <pane xSplit="4" ySplit="10" topLeftCell="E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C15" sqref="C15"/>
    </sheetView>
  </sheetViews>
  <sheetFormatPr defaultColWidth="9.140625" defaultRowHeight="15"/>
  <cols>
    <col min="1" max="1" width="5.00390625" style="0" customWidth="1"/>
    <col min="2" max="2" width="25.00390625" style="0" customWidth="1"/>
    <col min="3" max="3" width="30.140625" style="0" customWidth="1"/>
    <col min="4" max="4" width="15.57421875" style="0" customWidth="1"/>
    <col min="5" max="5" width="15.140625" style="0" customWidth="1"/>
    <col min="6" max="6" width="15.57421875" style="0" customWidth="1"/>
    <col min="7" max="7" width="16.7109375" style="0" customWidth="1"/>
    <col min="8" max="8" width="15.8515625" style="0" customWidth="1"/>
    <col min="9" max="9" width="12.421875" style="0" customWidth="1"/>
    <col min="10" max="10" width="13.8515625" style="0" customWidth="1"/>
    <col min="11" max="11" width="9.57421875" style="0" bestFit="1" customWidth="1"/>
  </cols>
  <sheetData>
    <row r="3" ht="15.75">
      <c r="C3" s="13" t="s">
        <v>47</v>
      </c>
    </row>
    <row r="4" spans="1:10" ht="15">
      <c r="A4" s="31" t="s">
        <v>8</v>
      </c>
      <c r="B4" s="31"/>
      <c r="C4" s="31"/>
      <c r="D4" s="31"/>
      <c r="E4" s="31"/>
      <c r="F4" s="31"/>
      <c r="G4" s="31"/>
      <c r="H4" s="31"/>
      <c r="I4" s="31"/>
      <c r="J4" s="31"/>
    </row>
    <row r="5" spans="1:10" ht="76.5" customHeight="1">
      <c r="A5" s="27" t="s">
        <v>0</v>
      </c>
      <c r="B5" s="29" t="s">
        <v>1</v>
      </c>
      <c r="C5" s="27" t="s">
        <v>2</v>
      </c>
      <c r="D5" s="32" t="s">
        <v>7</v>
      </c>
      <c r="E5" s="33"/>
      <c r="F5" s="27" t="s">
        <v>11</v>
      </c>
      <c r="G5" s="27" t="s">
        <v>3</v>
      </c>
      <c r="H5" s="27" t="s">
        <v>4</v>
      </c>
      <c r="I5" s="27" t="s">
        <v>5</v>
      </c>
      <c r="J5" s="29" t="s">
        <v>6</v>
      </c>
    </row>
    <row r="6" spans="1:10" ht="15.75">
      <c r="A6" s="28"/>
      <c r="B6" s="30"/>
      <c r="C6" s="28"/>
      <c r="D6" s="14" t="s">
        <v>16</v>
      </c>
      <c r="E6" s="15" t="s">
        <v>17</v>
      </c>
      <c r="F6" s="28"/>
      <c r="G6" s="28"/>
      <c r="H6" s="28"/>
      <c r="I6" s="28"/>
      <c r="J6" s="30"/>
    </row>
    <row r="7" spans="1:12" ht="15">
      <c r="A7" s="16">
        <v>1</v>
      </c>
      <c r="B7" s="17" t="s">
        <v>23</v>
      </c>
      <c r="C7" s="16"/>
      <c r="D7" s="18"/>
      <c r="E7" s="19"/>
      <c r="F7" s="20">
        <v>21.450000000000003</v>
      </c>
      <c r="G7" s="20">
        <v>11.819984</v>
      </c>
      <c r="H7" s="20">
        <v>2.24</v>
      </c>
      <c r="I7" s="5">
        <v>0.47977816000000006</v>
      </c>
      <c r="J7" s="6">
        <v>0.0001813426163208225</v>
      </c>
      <c r="L7" s="10"/>
    </row>
    <row r="8" spans="1:12" ht="15">
      <c r="A8" s="2">
        <v>2</v>
      </c>
      <c r="B8" s="3" t="s">
        <v>33</v>
      </c>
      <c r="C8" s="6"/>
      <c r="D8" s="4"/>
      <c r="E8" s="4"/>
      <c r="F8" s="6">
        <v>249.4</v>
      </c>
      <c r="G8" s="5">
        <v>247.28</v>
      </c>
      <c r="H8" s="5">
        <v>25.94</v>
      </c>
      <c r="I8" s="5">
        <v>-23.819999999999997</v>
      </c>
      <c r="J8" s="6">
        <v>-0.00900328835468874</v>
      </c>
      <c r="L8" s="10"/>
    </row>
    <row r="9" spans="1:12" ht="15.75" customHeight="1">
      <c r="A9" s="2">
        <v>3</v>
      </c>
      <c r="B9" s="3" t="s">
        <v>34</v>
      </c>
      <c r="C9" s="5" t="s">
        <v>48</v>
      </c>
      <c r="D9" s="4"/>
      <c r="E9" s="4"/>
      <c r="F9" s="5">
        <v>380.693</v>
      </c>
      <c r="G9" s="5">
        <v>301.76</v>
      </c>
      <c r="H9" s="5">
        <v>17</v>
      </c>
      <c r="I9" s="5">
        <v>10.0372</v>
      </c>
      <c r="J9" s="6">
        <v>0.003793778584117625</v>
      </c>
      <c r="L9" s="10"/>
    </row>
    <row r="10" spans="1:10" ht="15">
      <c r="A10" s="2">
        <v>4</v>
      </c>
      <c r="B10" s="3" t="s">
        <v>36</v>
      </c>
      <c r="C10" s="5"/>
      <c r="D10" s="4"/>
      <c r="E10" s="4"/>
      <c r="F10" s="5">
        <v>630.093</v>
      </c>
      <c r="G10" s="5">
        <v>549.0400000000001</v>
      </c>
      <c r="H10" s="5">
        <v>42.94</v>
      </c>
      <c r="I10" s="5">
        <v>0</v>
      </c>
      <c r="J10" s="6">
        <v>0</v>
      </c>
    </row>
    <row r="11" spans="1:10" ht="15">
      <c r="A11" s="24">
        <v>5</v>
      </c>
      <c r="B11" s="3" t="s">
        <v>12</v>
      </c>
      <c r="C11" s="5"/>
      <c r="D11" s="7">
        <v>8822</v>
      </c>
      <c r="E11" s="7">
        <v>8879</v>
      </c>
      <c r="F11" s="6">
        <v>342</v>
      </c>
      <c r="G11" s="5">
        <v>0</v>
      </c>
      <c r="H11" s="5">
        <v>0</v>
      </c>
      <c r="I11" s="5">
        <v>342</v>
      </c>
      <c r="J11" s="6">
        <v>0.12926635672978798</v>
      </c>
    </row>
    <row r="12" spans="1:10" ht="15">
      <c r="A12" s="25"/>
      <c r="B12" s="3" t="s">
        <v>14</v>
      </c>
      <c r="C12" s="5"/>
      <c r="D12" s="7">
        <v>4172</v>
      </c>
      <c r="E12" s="7">
        <v>4200</v>
      </c>
      <c r="F12" s="6">
        <v>168</v>
      </c>
      <c r="G12" s="5">
        <v>0</v>
      </c>
      <c r="H12" s="5">
        <v>0</v>
      </c>
      <c r="I12" s="5">
        <v>168</v>
      </c>
      <c r="J12" s="6">
        <v>0.06349926295498357</v>
      </c>
    </row>
    <row r="13" spans="1:10" ht="15">
      <c r="A13" s="25"/>
      <c r="B13" s="3" t="s">
        <v>15</v>
      </c>
      <c r="C13" s="5"/>
      <c r="D13" s="7">
        <v>6516</v>
      </c>
      <c r="E13" s="7">
        <v>6550</v>
      </c>
      <c r="F13" s="6">
        <v>510</v>
      </c>
      <c r="G13" s="5">
        <v>0</v>
      </c>
      <c r="H13" s="5">
        <v>0</v>
      </c>
      <c r="I13" s="5">
        <v>510</v>
      </c>
      <c r="J13" s="6">
        <v>0.19276561968477152</v>
      </c>
    </row>
    <row r="14" spans="1:10" ht="15">
      <c r="A14" s="25"/>
      <c r="B14" s="3" t="s">
        <v>13</v>
      </c>
      <c r="C14" s="5"/>
      <c r="D14" s="7">
        <v>8902</v>
      </c>
      <c r="E14" s="7">
        <v>8953</v>
      </c>
      <c r="F14" s="6">
        <v>765</v>
      </c>
      <c r="G14" s="5">
        <v>0</v>
      </c>
      <c r="H14" s="5">
        <v>0</v>
      </c>
      <c r="I14" s="5">
        <v>765</v>
      </c>
      <c r="J14" s="6">
        <v>0.2891484295271573</v>
      </c>
    </row>
    <row r="15" spans="1:12" ht="15">
      <c r="A15" s="25"/>
      <c r="B15" s="3" t="s">
        <v>24</v>
      </c>
      <c r="C15" s="5"/>
      <c r="D15" s="7">
        <v>26566</v>
      </c>
      <c r="E15" s="7">
        <v>26684</v>
      </c>
      <c r="F15" s="6">
        <v>118</v>
      </c>
      <c r="G15" s="5">
        <v>0</v>
      </c>
      <c r="H15" s="5">
        <v>0</v>
      </c>
      <c r="I15" s="5">
        <v>118</v>
      </c>
      <c r="J15" s="6">
        <v>0.044600672789809885</v>
      </c>
      <c r="L15" s="10"/>
    </row>
    <row r="16" spans="1:12" ht="15">
      <c r="A16" s="25"/>
      <c r="B16" s="3" t="s">
        <v>25</v>
      </c>
      <c r="C16" s="5"/>
      <c r="D16" s="7">
        <v>28460</v>
      </c>
      <c r="E16" s="7">
        <v>28605</v>
      </c>
      <c r="F16" s="6">
        <v>145</v>
      </c>
      <c r="G16" s="5">
        <v>0</v>
      </c>
      <c r="H16" s="5">
        <v>0</v>
      </c>
      <c r="I16" s="5">
        <v>145</v>
      </c>
      <c r="J16" s="6">
        <v>0.05480591147900367</v>
      </c>
      <c r="K16" s="11"/>
      <c r="L16" s="10"/>
    </row>
    <row r="17" spans="1:10" ht="15">
      <c r="A17" s="26"/>
      <c r="B17" s="21" t="s">
        <v>18</v>
      </c>
      <c r="C17" s="21"/>
      <c r="D17" s="8"/>
      <c r="E17" s="21"/>
      <c r="F17" s="22">
        <v>2048</v>
      </c>
      <c r="G17" s="22">
        <v>0</v>
      </c>
      <c r="H17" s="22">
        <v>0</v>
      </c>
      <c r="I17" s="22">
        <v>2048</v>
      </c>
      <c r="J17" s="6">
        <v>0.7740862531655139</v>
      </c>
    </row>
    <row r="18" spans="1:10" ht="15">
      <c r="A18" s="1"/>
      <c r="B18" s="1"/>
      <c r="C18" s="1"/>
      <c r="D18" s="1"/>
      <c r="E18" s="1" t="s">
        <v>19</v>
      </c>
      <c r="F18" s="23">
        <v>970</v>
      </c>
      <c r="G18" s="23">
        <v>0</v>
      </c>
      <c r="H18" s="23">
        <v>0</v>
      </c>
      <c r="I18" s="23">
        <v>970</v>
      </c>
      <c r="J18" s="6">
        <v>0.3666326492043694</v>
      </c>
    </row>
    <row r="19" spans="1:10" ht="15">
      <c r="A19" s="1"/>
      <c r="B19" s="1"/>
      <c r="C19" s="12"/>
      <c r="D19" s="1"/>
      <c r="E19" s="1" t="s">
        <v>20</v>
      </c>
      <c r="F19" s="9">
        <v>1078</v>
      </c>
      <c r="G19" s="9">
        <v>0</v>
      </c>
      <c r="H19" s="9">
        <v>0</v>
      </c>
      <c r="I19" s="9">
        <v>1078</v>
      </c>
      <c r="J19" s="6">
        <v>0.40745360396114455</v>
      </c>
    </row>
    <row r="20" spans="1:8" ht="15">
      <c r="A20" s="1"/>
      <c r="B20" s="1"/>
      <c r="C20" s="1"/>
      <c r="D20" s="1"/>
      <c r="E20" s="1"/>
      <c r="F20" s="1"/>
      <c r="G20" s="1"/>
      <c r="H20" s="1"/>
    </row>
    <row r="21" spans="1:8" ht="15">
      <c r="A21" s="1"/>
      <c r="B21" s="1"/>
      <c r="C21" s="1"/>
      <c r="D21" s="1"/>
      <c r="E21" s="1"/>
      <c r="F21" s="1"/>
      <c r="G21" s="1"/>
      <c r="H21" s="1"/>
    </row>
    <row r="22" spans="1:8" ht="15">
      <c r="A22" s="1"/>
      <c r="B22" s="1"/>
      <c r="C22" s="1"/>
      <c r="D22" s="1"/>
      <c r="E22" s="1"/>
      <c r="F22" s="1"/>
      <c r="G22" s="1"/>
      <c r="H22" s="1"/>
    </row>
    <row r="23" spans="1:8" ht="15">
      <c r="A23" s="1"/>
      <c r="B23" s="1"/>
      <c r="C23" s="1"/>
      <c r="D23" s="1"/>
      <c r="E23" s="1"/>
      <c r="F23" s="1"/>
      <c r="G23" s="1"/>
      <c r="H23" s="1"/>
    </row>
    <row r="24" spans="1:8" ht="15">
      <c r="A24" s="1"/>
      <c r="B24" s="1"/>
      <c r="C24" s="1"/>
      <c r="D24" s="1"/>
      <c r="E24" s="1"/>
      <c r="F24" s="1"/>
      <c r="G24" s="1"/>
      <c r="H24" s="1"/>
    </row>
    <row r="25" spans="1:9" ht="15">
      <c r="A25" s="1"/>
      <c r="B25" s="1"/>
      <c r="C25" s="1"/>
      <c r="D25" s="1"/>
      <c r="E25" s="1"/>
      <c r="F25" s="1"/>
      <c r="G25" s="1"/>
      <c r="H25" s="1"/>
      <c r="I25" t="s">
        <v>21</v>
      </c>
    </row>
    <row r="26" spans="1:8" ht="15">
      <c r="A26" s="1"/>
      <c r="B26" s="1"/>
      <c r="C26" s="1"/>
      <c r="D26" s="1"/>
      <c r="E26" s="1"/>
      <c r="F26" s="1"/>
      <c r="G26" s="1"/>
      <c r="H26" s="1"/>
    </row>
    <row r="27" spans="1:8" ht="15">
      <c r="A27" s="1"/>
      <c r="B27" s="1"/>
      <c r="C27" s="1"/>
      <c r="D27" s="1"/>
      <c r="E27" s="1"/>
      <c r="F27" s="1"/>
      <c r="G27" s="1"/>
      <c r="H27" s="1"/>
    </row>
    <row r="28" spans="1:8" ht="15">
      <c r="A28" s="1"/>
      <c r="B28" s="1"/>
      <c r="C28" s="1"/>
      <c r="D28" s="1"/>
      <c r="E28" s="1"/>
      <c r="F28" s="1"/>
      <c r="G28" s="1"/>
      <c r="H28" s="1"/>
    </row>
    <row r="29" spans="1:8" ht="15">
      <c r="A29" s="1"/>
      <c r="B29" s="1"/>
      <c r="C29" s="1"/>
      <c r="D29" s="1"/>
      <c r="E29" s="1"/>
      <c r="F29" s="1"/>
      <c r="G29" s="1"/>
      <c r="H29" s="1"/>
    </row>
    <row r="30" spans="1:8" ht="15">
      <c r="A30" s="1"/>
      <c r="B30" s="1"/>
      <c r="C30" s="1"/>
      <c r="D30" s="1"/>
      <c r="E30" s="1"/>
      <c r="F30" s="1"/>
      <c r="G30" s="1"/>
      <c r="H30" s="1"/>
    </row>
    <row r="31" spans="1:8" ht="15">
      <c r="A31" s="1"/>
      <c r="B31" s="1"/>
      <c r="C31" s="1"/>
      <c r="D31" s="1"/>
      <c r="E31" s="1"/>
      <c r="F31" s="1"/>
      <c r="G31" s="1"/>
      <c r="H31" s="1"/>
    </row>
  </sheetData>
  <sheetProtection/>
  <mergeCells count="11">
    <mergeCell ref="J5:J6"/>
    <mergeCell ref="A11:A17"/>
    <mergeCell ref="A4:J4"/>
    <mergeCell ref="A5:A6"/>
    <mergeCell ref="B5:B6"/>
    <mergeCell ref="C5:C6"/>
    <mergeCell ref="D5:E5"/>
    <mergeCell ref="F5:F6"/>
    <mergeCell ref="G5:G6"/>
    <mergeCell ref="H5:H6"/>
    <mergeCell ref="I5:I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L31"/>
  <sheetViews>
    <sheetView zoomScalePageLayoutView="0" workbookViewId="0" topLeftCell="A1">
      <pane xSplit="4" ySplit="10" topLeftCell="E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C11" sqref="C11"/>
    </sheetView>
  </sheetViews>
  <sheetFormatPr defaultColWidth="9.140625" defaultRowHeight="15"/>
  <cols>
    <col min="1" max="1" width="5.00390625" style="0" customWidth="1"/>
    <col min="2" max="2" width="25.00390625" style="0" customWidth="1"/>
    <col min="3" max="3" width="30.140625" style="0" customWidth="1"/>
    <col min="4" max="4" width="15.57421875" style="0" customWidth="1"/>
    <col min="5" max="5" width="15.140625" style="0" customWidth="1"/>
    <col min="6" max="6" width="15.57421875" style="0" customWidth="1"/>
    <col min="7" max="7" width="16.7109375" style="0" customWidth="1"/>
    <col min="8" max="8" width="15.8515625" style="0" customWidth="1"/>
    <col min="9" max="9" width="12.421875" style="0" customWidth="1"/>
    <col min="10" max="10" width="13.8515625" style="0" customWidth="1"/>
    <col min="11" max="11" width="9.57421875" style="0" bestFit="1" customWidth="1"/>
  </cols>
  <sheetData>
    <row r="3" ht="15.75">
      <c r="C3" s="13" t="s">
        <v>49</v>
      </c>
    </row>
    <row r="4" spans="1:10" ht="15">
      <c r="A4" s="31" t="s">
        <v>8</v>
      </c>
      <c r="B4" s="31"/>
      <c r="C4" s="31"/>
      <c r="D4" s="31"/>
      <c r="E4" s="31"/>
      <c r="F4" s="31"/>
      <c r="G4" s="31"/>
      <c r="H4" s="31"/>
      <c r="I4" s="31"/>
      <c r="J4" s="31"/>
    </row>
    <row r="5" spans="1:10" ht="76.5" customHeight="1">
      <c r="A5" s="27" t="s">
        <v>0</v>
      </c>
      <c r="B5" s="29" t="s">
        <v>1</v>
      </c>
      <c r="C5" s="27" t="s">
        <v>2</v>
      </c>
      <c r="D5" s="32" t="s">
        <v>7</v>
      </c>
      <c r="E5" s="33"/>
      <c r="F5" s="27" t="s">
        <v>11</v>
      </c>
      <c r="G5" s="27" t="s">
        <v>3</v>
      </c>
      <c r="H5" s="27" t="s">
        <v>4</v>
      </c>
      <c r="I5" s="27" t="s">
        <v>5</v>
      </c>
      <c r="J5" s="29" t="s">
        <v>6</v>
      </c>
    </row>
    <row r="6" spans="1:10" ht="15.75">
      <c r="A6" s="28"/>
      <c r="B6" s="30"/>
      <c r="C6" s="28"/>
      <c r="D6" s="14" t="s">
        <v>16</v>
      </c>
      <c r="E6" s="15" t="s">
        <v>17</v>
      </c>
      <c r="F6" s="28"/>
      <c r="G6" s="28"/>
      <c r="H6" s="28"/>
      <c r="I6" s="28"/>
      <c r="J6" s="30"/>
    </row>
    <row r="7" spans="1:12" ht="15">
      <c r="A7" s="16">
        <v>1</v>
      </c>
      <c r="B7" s="17" t="s">
        <v>23</v>
      </c>
      <c r="C7" s="16"/>
      <c r="D7" s="18"/>
      <c r="E7" s="19"/>
      <c r="F7" s="20">
        <v>22.69</v>
      </c>
      <c r="G7" s="20">
        <v>11.185878760000001</v>
      </c>
      <c r="H7" s="20">
        <v>2.37</v>
      </c>
      <c r="I7" s="5">
        <v>0.47977816000000006</v>
      </c>
      <c r="J7" s="6">
        <v>0.0001813426163208225</v>
      </c>
      <c r="L7" s="10"/>
    </row>
    <row r="8" spans="1:12" ht="15">
      <c r="A8" s="2">
        <v>2</v>
      </c>
      <c r="B8" s="3" t="s">
        <v>33</v>
      </c>
      <c r="C8" s="6"/>
      <c r="D8" s="4"/>
      <c r="E8" s="4"/>
      <c r="F8" s="6">
        <v>260.8</v>
      </c>
      <c r="G8" s="5">
        <v>234.01420000000002</v>
      </c>
      <c r="H8" s="5">
        <v>27.13</v>
      </c>
      <c r="I8" s="5">
        <v>-0.3442000000000043</v>
      </c>
      <c r="J8" s="6">
        <v>-0.00013009789469705722</v>
      </c>
      <c r="L8" s="10"/>
    </row>
    <row r="9" spans="1:12" ht="15.75" customHeight="1">
      <c r="A9" s="2">
        <v>3</v>
      </c>
      <c r="B9" s="3" t="s">
        <v>34</v>
      </c>
      <c r="C9" s="5" t="s">
        <v>50</v>
      </c>
      <c r="D9" s="4"/>
      <c r="E9" s="4"/>
      <c r="F9" s="5">
        <v>425.4890000000014</v>
      </c>
      <c r="G9" s="5">
        <v>264.7181</v>
      </c>
      <c r="H9" s="5">
        <v>23</v>
      </c>
      <c r="I9" s="5">
        <v>10.0372</v>
      </c>
      <c r="J9" s="6">
        <v>0.003793778584117625</v>
      </c>
      <c r="L9" s="10"/>
    </row>
    <row r="10" spans="1:10" ht="15">
      <c r="A10" s="2">
        <v>4</v>
      </c>
      <c r="B10" s="3" t="s">
        <v>36</v>
      </c>
      <c r="C10" s="5"/>
      <c r="D10" s="4"/>
      <c r="E10" s="4"/>
      <c r="F10" s="5">
        <v>686.2890000000014</v>
      </c>
      <c r="G10" s="5">
        <v>498.73229999999995</v>
      </c>
      <c r="H10" s="5">
        <v>50.129999999999995</v>
      </c>
      <c r="I10" s="5">
        <v>0</v>
      </c>
      <c r="J10" s="6">
        <v>0</v>
      </c>
    </row>
    <row r="11" spans="1:10" ht="15">
      <c r="A11" s="24">
        <v>5</v>
      </c>
      <c r="B11" s="3" t="s">
        <v>12</v>
      </c>
      <c r="C11" s="5"/>
      <c r="D11" s="7">
        <v>8879</v>
      </c>
      <c r="E11" s="7">
        <v>8943</v>
      </c>
      <c r="F11" s="6">
        <v>384</v>
      </c>
      <c r="G11" s="5">
        <v>0</v>
      </c>
      <c r="H11" s="5">
        <v>0</v>
      </c>
      <c r="I11" s="5">
        <v>384</v>
      </c>
      <c r="J11" s="6">
        <v>0.14514117246853386</v>
      </c>
    </row>
    <row r="12" spans="1:10" ht="15">
      <c r="A12" s="25"/>
      <c r="B12" s="3" t="s">
        <v>14</v>
      </c>
      <c r="C12" s="5"/>
      <c r="D12" s="7">
        <v>4200</v>
      </c>
      <c r="E12" s="7">
        <v>4225</v>
      </c>
      <c r="F12" s="6">
        <v>150</v>
      </c>
      <c r="G12" s="5">
        <v>0</v>
      </c>
      <c r="H12" s="5">
        <v>0</v>
      </c>
      <c r="I12" s="5">
        <v>150</v>
      </c>
      <c r="J12" s="6">
        <v>0.05669577049552104</v>
      </c>
    </row>
    <row r="13" spans="1:10" ht="15">
      <c r="A13" s="25"/>
      <c r="B13" s="3" t="s">
        <v>15</v>
      </c>
      <c r="C13" s="5"/>
      <c r="D13" s="7">
        <v>6550</v>
      </c>
      <c r="E13" s="7">
        <v>6603</v>
      </c>
      <c r="F13" s="6">
        <v>795</v>
      </c>
      <c r="G13" s="5">
        <v>0</v>
      </c>
      <c r="H13" s="5">
        <v>0</v>
      </c>
      <c r="I13" s="5">
        <v>795</v>
      </c>
      <c r="J13" s="6">
        <v>0.3004875836262615</v>
      </c>
    </row>
    <row r="14" spans="1:10" ht="15">
      <c r="A14" s="25"/>
      <c r="B14" s="3" t="s">
        <v>13</v>
      </c>
      <c r="C14" s="5"/>
      <c r="D14" s="7">
        <v>8953</v>
      </c>
      <c r="E14" s="7">
        <v>9020</v>
      </c>
      <c r="F14" s="6">
        <v>1005</v>
      </c>
      <c r="G14" s="5">
        <v>0</v>
      </c>
      <c r="H14" s="5">
        <v>0</v>
      </c>
      <c r="I14" s="5">
        <v>1005</v>
      </c>
      <c r="J14" s="6">
        <v>0.37986166231999097</v>
      </c>
    </row>
    <row r="15" spans="1:12" ht="15">
      <c r="A15" s="25"/>
      <c r="B15" s="3" t="s">
        <v>24</v>
      </c>
      <c r="C15" s="5"/>
      <c r="D15" s="7">
        <v>26684</v>
      </c>
      <c r="E15" s="7">
        <v>26835</v>
      </c>
      <c r="F15" s="6">
        <v>151</v>
      </c>
      <c r="G15" s="5">
        <v>0</v>
      </c>
      <c r="H15" s="5">
        <v>0</v>
      </c>
      <c r="I15" s="5">
        <v>151</v>
      </c>
      <c r="J15" s="6">
        <v>0.05707374229882451</v>
      </c>
      <c r="L15" s="10"/>
    </row>
    <row r="16" spans="1:12" ht="15">
      <c r="A16" s="25"/>
      <c r="B16" s="3" t="s">
        <v>25</v>
      </c>
      <c r="C16" s="5"/>
      <c r="D16" s="7">
        <v>28605</v>
      </c>
      <c r="E16" s="7">
        <v>28761</v>
      </c>
      <c r="F16" s="6">
        <v>156</v>
      </c>
      <c r="G16" s="5">
        <v>0</v>
      </c>
      <c r="H16" s="5">
        <v>0</v>
      </c>
      <c r="I16" s="5">
        <v>156</v>
      </c>
      <c r="J16" s="6">
        <v>0.05896360131534188</v>
      </c>
      <c r="K16" s="11"/>
      <c r="L16" s="10"/>
    </row>
    <row r="17" spans="1:10" ht="15">
      <c r="A17" s="26"/>
      <c r="B17" s="21" t="s">
        <v>18</v>
      </c>
      <c r="C17" s="21"/>
      <c r="D17" s="8"/>
      <c r="E17" s="21"/>
      <c r="F17" s="22">
        <v>2641</v>
      </c>
      <c r="G17" s="22">
        <v>0</v>
      </c>
      <c r="H17" s="22">
        <v>0</v>
      </c>
      <c r="I17" s="22">
        <v>2641</v>
      </c>
      <c r="J17" s="6">
        <v>0.9982235325244737</v>
      </c>
    </row>
    <row r="18" spans="1:10" ht="15">
      <c r="A18" s="1"/>
      <c r="B18" s="1"/>
      <c r="C18" s="1"/>
      <c r="D18" s="1"/>
      <c r="E18" s="1" t="s">
        <v>19</v>
      </c>
      <c r="F18" s="23">
        <v>1330</v>
      </c>
      <c r="G18" s="23">
        <v>0</v>
      </c>
      <c r="H18" s="23">
        <v>0</v>
      </c>
      <c r="I18" s="23">
        <v>1330</v>
      </c>
      <c r="J18" s="6">
        <v>0.5027024983936199</v>
      </c>
    </row>
    <row r="19" spans="1:10" ht="15">
      <c r="A19" s="1"/>
      <c r="B19" s="1"/>
      <c r="C19" s="12"/>
      <c r="D19" s="1"/>
      <c r="E19" s="1" t="s">
        <v>20</v>
      </c>
      <c r="F19" s="9">
        <v>1311</v>
      </c>
      <c r="G19" s="9">
        <v>0</v>
      </c>
      <c r="H19" s="9">
        <v>0</v>
      </c>
      <c r="I19" s="9">
        <v>1311</v>
      </c>
      <c r="J19" s="6">
        <v>0.49552103413085385</v>
      </c>
    </row>
    <row r="20" spans="1:8" ht="15">
      <c r="A20" s="1"/>
      <c r="B20" s="1"/>
      <c r="C20" s="1"/>
      <c r="D20" s="1"/>
      <c r="E20" s="1"/>
      <c r="F20" s="1"/>
      <c r="G20" s="1"/>
      <c r="H20" s="1"/>
    </row>
    <row r="21" spans="1:8" ht="15">
      <c r="A21" s="1"/>
      <c r="B21" s="1"/>
      <c r="C21" s="1"/>
      <c r="D21" s="1"/>
      <c r="E21" s="1"/>
      <c r="F21" s="1"/>
      <c r="G21" s="1"/>
      <c r="H21" s="1"/>
    </row>
    <row r="22" spans="1:8" ht="15">
      <c r="A22" s="1"/>
      <c r="B22" s="1"/>
      <c r="C22" s="1"/>
      <c r="D22" s="1"/>
      <c r="E22" s="1"/>
      <c r="F22" s="1"/>
      <c r="G22" s="1"/>
      <c r="H22" s="1"/>
    </row>
    <row r="23" spans="1:8" ht="15">
      <c r="A23" s="1"/>
      <c r="B23" s="1"/>
      <c r="C23" s="1"/>
      <c r="D23" s="1"/>
      <c r="E23" s="1"/>
      <c r="F23" s="1"/>
      <c r="G23" s="1"/>
      <c r="H23" s="1"/>
    </row>
    <row r="24" spans="1:8" ht="15">
      <c r="A24" s="1"/>
      <c r="B24" s="1"/>
      <c r="C24" s="1"/>
      <c r="D24" s="1"/>
      <c r="E24" s="1"/>
      <c r="F24" s="1"/>
      <c r="G24" s="1"/>
      <c r="H24" s="1"/>
    </row>
    <row r="25" spans="1:9" ht="15">
      <c r="A25" s="1"/>
      <c r="B25" s="1"/>
      <c r="C25" s="1"/>
      <c r="D25" s="1"/>
      <c r="E25" s="1"/>
      <c r="F25" s="1"/>
      <c r="G25" s="1"/>
      <c r="H25" s="1"/>
      <c r="I25" t="s">
        <v>21</v>
      </c>
    </row>
    <row r="26" spans="1:8" ht="15">
      <c r="A26" s="1"/>
      <c r="B26" s="1"/>
      <c r="C26" s="1"/>
      <c r="D26" s="1"/>
      <c r="E26" s="1"/>
      <c r="F26" s="1"/>
      <c r="G26" s="1"/>
      <c r="H26" s="1"/>
    </row>
    <row r="27" spans="1:8" ht="15">
      <c r="A27" s="1"/>
      <c r="B27" s="1"/>
      <c r="C27" s="1"/>
      <c r="D27" s="1"/>
      <c r="E27" s="1"/>
      <c r="F27" s="1"/>
      <c r="G27" s="1"/>
      <c r="H27" s="1"/>
    </row>
    <row r="28" spans="1:8" ht="15">
      <c r="A28" s="1"/>
      <c r="B28" s="1"/>
      <c r="C28" s="1"/>
      <c r="D28" s="1"/>
      <c r="E28" s="1"/>
      <c r="F28" s="1"/>
      <c r="G28" s="1"/>
      <c r="H28" s="1"/>
    </row>
    <row r="29" spans="1:8" ht="15">
      <c r="A29" s="1"/>
      <c r="B29" s="1"/>
      <c r="C29" s="1"/>
      <c r="D29" s="1"/>
      <c r="E29" s="1"/>
      <c r="F29" s="1"/>
      <c r="G29" s="1"/>
      <c r="H29" s="1"/>
    </row>
    <row r="30" spans="1:8" ht="15">
      <c r="A30" s="1"/>
      <c r="B30" s="1"/>
      <c r="C30" s="1"/>
      <c r="D30" s="1"/>
      <c r="E30" s="1"/>
      <c r="F30" s="1"/>
      <c r="G30" s="1"/>
      <c r="H30" s="1"/>
    </row>
    <row r="31" spans="1:8" ht="15">
      <c r="A31" s="1"/>
      <c r="B31" s="1"/>
      <c r="C31" s="1"/>
      <c r="D31" s="1"/>
      <c r="E31" s="1"/>
      <c r="F31" s="1"/>
      <c r="G31" s="1"/>
      <c r="H31" s="1"/>
    </row>
  </sheetData>
  <sheetProtection/>
  <mergeCells count="11">
    <mergeCell ref="H5:H6"/>
    <mergeCell ref="I5:I6"/>
    <mergeCell ref="J5:J6"/>
    <mergeCell ref="A11:A17"/>
    <mergeCell ref="A4:J4"/>
    <mergeCell ref="A5:A6"/>
    <mergeCell ref="B5:B6"/>
    <mergeCell ref="C5:C6"/>
    <mergeCell ref="D5:E5"/>
    <mergeCell ref="F5:F6"/>
    <mergeCell ref="G5:G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L31"/>
  <sheetViews>
    <sheetView tabSelected="1" workbookViewId="0" topLeftCell="A1">
      <pane xSplit="4" ySplit="10" topLeftCell="E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C5" sqref="C5:C6"/>
    </sheetView>
  </sheetViews>
  <sheetFormatPr defaultColWidth="9.140625" defaultRowHeight="15"/>
  <cols>
    <col min="1" max="1" width="5.00390625" style="0" customWidth="1"/>
    <col min="2" max="2" width="25.00390625" style="0" customWidth="1"/>
    <col min="3" max="3" width="30.140625" style="0" customWidth="1"/>
    <col min="4" max="4" width="15.57421875" style="0" customWidth="1"/>
    <col min="5" max="5" width="15.140625" style="0" customWidth="1"/>
    <col min="6" max="6" width="15.57421875" style="0" customWidth="1"/>
    <col min="7" max="7" width="16.7109375" style="0" customWidth="1"/>
    <col min="8" max="8" width="15.8515625" style="0" customWidth="1"/>
    <col min="9" max="9" width="12.421875" style="0" customWidth="1"/>
    <col min="10" max="10" width="13.8515625" style="0" customWidth="1"/>
    <col min="11" max="11" width="9.57421875" style="0" bestFit="1" customWidth="1"/>
  </cols>
  <sheetData>
    <row r="3" ht="15.75">
      <c r="C3" s="13" t="s">
        <v>51</v>
      </c>
    </row>
    <row r="4" spans="1:10" ht="15">
      <c r="A4" s="31" t="s">
        <v>8</v>
      </c>
      <c r="B4" s="31"/>
      <c r="C4" s="31"/>
      <c r="D4" s="31"/>
      <c r="E4" s="31"/>
      <c r="F4" s="31"/>
      <c r="G4" s="31"/>
      <c r="H4" s="31"/>
      <c r="I4" s="31"/>
      <c r="J4" s="31"/>
    </row>
    <row r="5" spans="1:10" ht="76.5" customHeight="1">
      <c r="A5" s="27" t="s">
        <v>0</v>
      </c>
      <c r="B5" s="29" t="s">
        <v>1</v>
      </c>
      <c r="C5" s="27" t="s">
        <v>2</v>
      </c>
      <c r="D5" s="32" t="s">
        <v>7</v>
      </c>
      <c r="E5" s="33"/>
      <c r="F5" s="27" t="s">
        <v>11</v>
      </c>
      <c r="G5" s="27" t="s">
        <v>3</v>
      </c>
      <c r="H5" s="27" t="s">
        <v>4</v>
      </c>
      <c r="I5" s="27" t="s">
        <v>5</v>
      </c>
      <c r="J5" s="29" t="s">
        <v>6</v>
      </c>
    </row>
    <row r="6" spans="1:10" ht="15.75">
      <c r="A6" s="28"/>
      <c r="B6" s="30"/>
      <c r="C6" s="28"/>
      <c r="D6" s="14" t="s">
        <v>16</v>
      </c>
      <c r="E6" s="15" t="s">
        <v>17</v>
      </c>
      <c r="F6" s="28"/>
      <c r="G6" s="28"/>
      <c r="H6" s="28"/>
      <c r="I6" s="28"/>
      <c r="J6" s="30"/>
    </row>
    <row r="7" spans="1:12" ht="15">
      <c r="A7" s="16">
        <v>1</v>
      </c>
      <c r="B7" s="17" t="s">
        <v>23</v>
      </c>
      <c r="C7" s="16"/>
      <c r="D7" s="18"/>
      <c r="E7" s="19"/>
      <c r="F7" s="20">
        <f>20.77+2.43</f>
        <v>23.2</v>
      </c>
      <c r="G7" s="34">
        <f>G8*0.0478</f>
        <v>11.199062000000001</v>
      </c>
      <c r="H7" s="20">
        <f>2.43</f>
        <v>2.43</v>
      </c>
      <c r="I7" s="5">
        <f>10.0372*0.0478</f>
        <v>0.47977816000000006</v>
      </c>
      <c r="J7" s="6">
        <f>I7/2645.7</f>
        <v>0.0001813426163208225</v>
      </c>
      <c r="L7" s="10"/>
    </row>
    <row r="8" spans="1:12" ht="15">
      <c r="A8" s="2">
        <v>2</v>
      </c>
      <c r="B8" s="3" t="s">
        <v>33</v>
      </c>
      <c r="C8" s="6"/>
      <c r="D8" s="4"/>
      <c r="E8" s="4"/>
      <c r="F8" s="6">
        <f>192.19+22.31</f>
        <v>214.5</v>
      </c>
      <c r="G8" s="35">
        <f>136.34+97.95</f>
        <v>234.29000000000002</v>
      </c>
      <c r="H8" s="5">
        <f>22.31</f>
        <v>22.31</v>
      </c>
      <c r="I8" s="5">
        <f>F8-G8-H8</f>
        <v>-42.10000000000002</v>
      </c>
      <c r="J8" s="6">
        <f aca="true" t="shared" si="0" ref="J8:J19">I8/2645.7</f>
        <v>-0.015912612919076245</v>
      </c>
      <c r="L8" s="10"/>
    </row>
    <row r="9" spans="1:12" ht="15.75" customHeight="1">
      <c r="A9" s="2">
        <v>3</v>
      </c>
      <c r="B9" s="3" t="s">
        <v>34</v>
      </c>
      <c r="C9" s="5" t="s">
        <v>52</v>
      </c>
      <c r="D9" s="4"/>
      <c r="E9" s="4"/>
      <c r="F9" s="5">
        <f>37932.229-37392.758</f>
        <v>539.4709999999977</v>
      </c>
      <c r="G9" s="35">
        <f>160.05+118.13</f>
        <v>278.18</v>
      </c>
      <c r="H9" s="5">
        <f>14</f>
        <v>14</v>
      </c>
      <c r="I9" s="5">
        <f>10.0372</f>
        <v>10.0372</v>
      </c>
      <c r="J9" s="6">
        <f t="shared" si="0"/>
        <v>0.003793778584117625</v>
      </c>
      <c r="L9" s="10"/>
    </row>
    <row r="10" spans="1:10" ht="15">
      <c r="A10" s="2">
        <v>4</v>
      </c>
      <c r="B10" s="3" t="s">
        <v>36</v>
      </c>
      <c r="C10" s="5"/>
      <c r="D10" s="4"/>
      <c r="E10" s="4"/>
      <c r="F10" s="5">
        <f>F8+F9</f>
        <v>753.9709999999977</v>
      </c>
      <c r="G10" s="35">
        <f>265.8+205.64+23.67+17.36</f>
        <v>512.47</v>
      </c>
      <c r="H10" s="5">
        <f>H8+H9</f>
        <v>36.31</v>
      </c>
      <c r="I10" s="5">
        <v>0</v>
      </c>
      <c r="J10" s="6">
        <f t="shared" si="0"/>
        <v>0</v>
      </c>
    </row>
    <row r="11" spans="1:10" ht="15">
      <c r="A11" s="24">
        <v>5</v>
      </c>
      <c r="B11" s="3" t="s">
        <v>12</v>
      </c>
      <c r="C11" s="5"/>
      <c r="D11" s="7">
        <v>8943</v>
      </c>
      <c r="E11" s="7">
        <v>8984</v>
      </c>
      <c r="F11" s="6">
        <f>(E11-D11)*6</f>
        <v>246</v>
      </c>
      <c r="G11" s="5">
        <v>0</v>
      </c>
      <c r="H11" s="5">
        <v>0</v>
      </c>
      <c r="I11" s="5">
        <f aca="true" t="shared" si="1" ref="I11:I16">F11-G11-H11</f>
        <v>246</v>
      </c>
      <c r="J11" s="6">
        <f t="shared" si="0"/>
        <v>0.0929810636126545</v>
      </c>
    </row>
    <row r="12" spans="1:10" ht="15">
      <c r="A12" s="25"/>
      <c r="B12" s="3" t="s">
        <v>14</v>
      </c>
      <c r="C12" s="5"/>
      <c r="D12" s="7">
        <v>4225</v>
      </c>
      <c r="E12" s="7">
        <v>4242</v>
      </c>
      <c r="F12" s="6">
        <f>(E12-D12)*6</f>
        <v>102</v>
      </c>
      <c r="G12" s="5">
        <v>0</v>
      </c>
      <c r="H12" s="5">
        <v>0</v>
      </c>
      <c r="I12" s="5">
        <f t="shared" si="1"/>
        <v>102</v>
      </c>
      <c r="J12" s="6">
        <f t="shared" si="0"/>
        <v>0.03855312393695431</v>
      </c>
    </row>
    <row r="13" spans="1:10" ht="15">
      <c r="A13" s="25"/>
      <c r="B13" s="3" t="s">
        <v>15</v>
      </c>
      <c r="C13" s="5"/>
      <c r="D13" s="7">
        <v>6603</v>
      </c>
      <c r="E13" s="7">
        <v>6634</v>
      </c>
      <c r="F13" s="6">
        <f>(E13-D13)*15</f>
        <v>465</v>
      </c>
      <c r="G13" s="5">
        <v>0</v>
      </c>
      <c r="H13" s="5">
        <v>0</v>
      </c>
      <c r="I13" s="5">
        <f t="shared" si="1"/>
        <v>465</v>
      </c>
      <c r="J13" s="6">
        <f t="shared" si="0"/>
        <v>0.1757568885361152</v>
      </c>
    </row>
    <row r="14" spans="1:10" ht="15">
      <c r="A14" s="25"/>
      <c r="B14" s="3" t="s">
        <v>13</v>
      </c>
      <c r="C14" s="5"/>
      <c r="D14" s="7">
        <v>9020</v>
      </c>
      <c r="E14" s="7">
        <v>9161</v>
      </c>
      <c r="F14" s="6">
        <f>(E14-D14)*15</f>
        <v>2115</v>
      </c>
      <c r="G14" s="5">
        <v>0</v>
      </c>
      <c r="H14" s="5">
        <v>0</v>
      </c>
      <c r="I14" s="5">
        <f t="shared" si="1"/>
        <v>2115</v>
      </c>
      <c r="J14" s="6">
        <f t="shared" si="0"/>
        <v>0.7994103639868466</v>
      </c>
    </row>
    <row r="15" spans="1:12" ht="15">
      <c r="A15" s="25"/>
      <c r="B15" s="3" t="s">
        <v>24</v>
      </c>
      <c r="C15" s="5"/>
      <c r="D15" s="7">
        <v>26835</v>
      </c>
      <c r="E15" s="7">
        <v>26927</v>
      </c>
      <c r="F15" s="6">
        <f>(E15-D15)*1</f>
        <v>92</v>
      </c>
      <c r="G15" s="5">
        <v>0</v>
      </c>
      <c r="H15" s="5">
        <v>0</v>
      </c>
      <c r="I15" s="5">
        <f t="shared" si="1"/>
        <v>92</v>
      </c>
      <c r="J15" s="6">
        <f t="shared" si="0"/>
        <v>0.03477340590391957</v>
      </c>
      <c r="L15" s="10"/>
    </row>
    <row r="16" spans="1:12" ht="15">
      <c r="A16" s="25"/>
      <c r="B16" s="3" t="s">
        <v>25</v>
      </c>
      <c r="C16" s="5"/>
      <c r="D16" s="7">
        <v>28761</v>
      </c>
      <c r="E16" s="7">
        <v>28864</v>
      </c>
      <c r="F16" s="6">
        <f>(E16-D16)*1</f>
        <v>103</v>
      </c>
      <c r="G16" s="5">
        <v>0</v>
      </c>
      <c r="H16" s="5">
        <v>0</v>
      </c>
      <c r="I16" s="5">
        <f t="shared" si="1"/>
        <v>103</v>
      </c>
      <c r="J16" s="6">
        <f t="shared" si="0"/>
        <v>0.03893109574025778</v>
      </c>
      <c r="K16" s="11"/>
      <c r="L16" s="10"/>
    </row>
    <row r="17" spans="1:10" ht="15">
      <c r="A17" s="26"/>
      <c r="B17" s="21" t="s">
        <v>18</v>
      </c>
      <c r="C17" s="21"/>
      <c r="D17" s="8"/>
      <c r="E17" s="21"/>
      <c r="F17" s="22">
        <f>SUM(F11:F16)</f>
        <v>3123</v>
      </c>
      <c r="G17" s="22">
        <f>SUM(G11:G16)</f>
        <v>0</v>
      </c>
      <c r="H17" s="22">
        <f>SUM(H11:H16)</f>
        <v>0</v>
      </c>
      <c r="I17" s="22">
        <f>SUM(I11:I16)</f>
        <v>3123</v>
      </c>
      <c r="J17" s="6">
        <f t="shared" si="0"/>
        <v>1.180405941716748</v>
      </c>
    </row>
    <row r="18" spans="1:10" ht="15">
      <c r="A18" s="1"/>
      <c r="B18" s="1"/>
      <c r="C18" s="1"/>
      <c r="D18" s="1"/>
      <c r="E18" s="1" t="s">
        <v>19</v>
      </c>
      <c r="F18" s="23">
        <f aca="true" t="shared" si="2" ref="F18:I19">F11+F13+F15</f>
        <v>803</v>
      </c>
      <c r="G18" s="23">
        <f t="shared" si="2"/>
        <v>0</v>
      </c>
      <c r="H18" s="23">
        <f t="shared" si="2"/>
        <v>0</v>
      </c>
      <c r="I18" s="23">
        <f t="shared" si="2"/>
        <v>803</v>
      </c>
      <c r="J18" s="6">
        <f t="shared" si="0"/>
        <v>0.3035113580526893</v>
      </c>
    </row>
    <row r="19" spans="1:10" ht="15">
      <c r="A19" s="1"/>
      <c r="B19" s="1"/>
      <c r="C19" s="12"/>
      <c r="D19" s="1"/>
      <c r="E19" s="1" t="s">
        <v>20</v>
      </c>
      <c r="F19" s="9">
        <f t="shared" si="2"/>
        <v>2320</v>
      </c>
      <c r="G19" s="9">
        <f t="shared" si="2"/>
        <v>0</v>
      </c>
      <c r="H19" s="9">
        <f t="shared" si="2"/>
        <v>0</v>
      </c>
      <c r="I19" s="9">
        <f t="shared" si="2"/>
        <v>2320</v>
      </c>
      <c r="J19" s="6">
        <f t="shared" si="0"/>
        <v>0.8768945836640587</v>
      </c>
    </row>
    <row r="20" spans="1:8" ht="15">
      <c r="A20" s="1"/>
      <c r="B20" s="1"/>
      <c r="C20" s="1"/>
      <c r="D20" s="1"/>
      <c r="E20" s="1"/>
      <c r="F20" s="1"/>
      <c r="G20" s="1"/>
      <c r="H20" s="1"/>
    </row>
    <row r="21" spans="1:8" ht="15">
      <c r="A21" s="1"/>
      <c r="B21" s="1"/>
      <c r="C21" s="1"/>
      <c r="D21" s="1"/>
      <c r="E21" s="1"/>
      <c r="F21" s="1"/>
      <c r="G21" s="1"/>
      <c r="H21" s="1"/>
    </row>
    <row r="22" spans="1:8" ht="15">
      <c r="A22" s="1"/>
      <c r="B22" s="1"/>
      <c r="C22" s="1"/>
      <c r="D22" s="1"/>
      <c r="E22" s="1"/>
      <c r="F22" s="1"/>
      <c r="G22" s="1"/>
      <c r="H22" s="1"/>
    </row>
    <row r="23" spans="1:8" ht="15">
      <c r="A23" s="1"/>
      <c r="B23" s="1"/>
      <c r="C23" s="1"/>
      <c r="D23" s="1"/>
      <c r="E23" s="1"/>
      <c r="F23" s="1"/>
      <c r="G23" s="1"/>
      <c r="H23" s="1"/>
    </row>
    <row r="24" spans="1:8" ht="15">
      <c r="A24" s="1"/>
      <c r="B24" s="1"/>
      <c r="C24" s="1"/>
      <c r="D24" s="1"/>
      <c r="E24" s="1"/>
      <c r="F24" s="1"/>
      <c r="G24" s="1"/>
      <c r="H24" s="1"/>
    </row>
    <row r="25" spans="1:9" ht="15">
      <c r="A25" s="1"/>
      <c r="B25" s="1"/>
      <c r="C25" s="1"/>
      <c r="D25" s="1"/>
      <c r="E25" s="1"/>
      <c r="F25" s="1"/>
      <c r="G25" s="1"/>
      <c r="H25" s="1"/>
      <c r="I25" t="s">
        <v>21</v>
      </c>
    </row>
    <row r="26" spans="1:8" ht="15">
      <c r="A26" s="1"/>
      <c r="B26" s="1"/>
      <c r="C26" s="1"/>
      <c r="D26" s="1"/>
      <c r="E26" s="1"/>
      <c r="F26" s="1"/>
      <c r="G26" s="1"/>
      <c r="H26" s="1"/>
    </row>
    <row r="27" spans="1:8" ht="15">
      <c r="A27" s="1"/>
      <c r="B27" s="1"/>
      <c r="C27" s="1"/>
      <c r="D27" s="1"/>
      <c r="E27" s="1"/>
      <c r="F27" s="1"/>
      <c r="G27" s="1"/>
      <c r="H27" s="1"/>
    </row>
    <row r="28" spans="1:8" ht="15">
      <c r="A28" s="1"/>
      <c r="B28" s="1"/>
      <c r="C28" s="1"/>
      <c r="D28" s="1"/>
      <c r="E28" s="1"/>
      <c r="F28" s="1"/>
      <c r="G28" s="1"/>
      <c r="H28" s="1"/>
    </row>
    <row r="29" spans="1:8" ht="15">
      <c r="A29" s="1"/>
      <c r="B29" s="1"/>
      <c r="C29" s="1"/>
      <c r="D29" s="1"/>
      <c r="E29" s="1"/>
      <c r="F29" s="1"/>
      <c r="G29" s="1"/>
      <c r="H29" s="1"/>
    </row>
    <row r="30" spans="1:8" ht="15">
      <c r="A30" s="1"/>
      <c r="B30" s="1"/>
      <c r="C30" s="1"/>
      <c r="D30" s="1"/>
      <c r="E30" s="1"/>
      <c r="F30" s="1"/>
      <c r="G30" s="1"/>
      <c r="H30" s="1"/>
    </row>
    <row r="31" spans="1:8" ht="15">
      <c r="A31" s="1"/>
      <c r="B31" s="1"/>
      <c r="C31" s="1"/>
      <c r="D31" s="1"/>
      <c r="E31" s="1"/>
      <c r="F31" s="1"/>
      <c r="G31" s="1"/>
      <c r="H31" s="1"/>
    </row>
  </sheetData>
  <sheetProtection/>
  <mergeCells count="11">
    <mergeCell ref="A4:J4"/>
    <mergeCell ref="A5:A6"/>
    <mergeCell ref="B5:B6"/>
    <mergeCell ref="C5:C6"/>
    <mergeCell ref="D5:E5"/>
    <mergeCell ref="F5:F6"/>
    <mergeCell ref="G5:G6"/>
    <mergeCell ref="H5:H6"/>
    <mergeCell ref="I5:I6"/>
    <mergeCell ref="J5:J6"/>
    <mergeCell ref="A11:A17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L31"/>
  <sheetViews>
    <sheetView zoomScalePageLayoutView="0" workbookViewId="0" topLeftCell="A1">
      <pane xSplit="4" ySplit="10" topLeftCell="F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B5" sqref="B5:B6"/>
    </sheetView>
  </sheetViews>
  <sheetFormatPr defaultColWidth="9.140625" defaultRowHeight="15"/>
  <cols>
    <col min="1" max="1" width="5.00390625" style="0" customWidth="1"/>
    <col min="2" max="2" width="25.00390625" style="0" customWidth="1"/>
    <col min="3" max="3" width="18.140625" style="0" customWidth="1"/>
    <col min="4" max="4" width="15.57421875" style="0" customWidth="1"/>
    <col min="5" max="5" width="15.140625" style="0" customWidth="1"/>
    <col min="6" max="6" width="15.57421875" style="0" customWidth="1"/>
    <col min="7" max="7" width="16.7109375" style="0" customWidth="1"/>
    <col min="8" max="8" width="15.8515625" style="0" customWidth="1"/>
    <col min="9" max="9" width="12.421875" style="0" customWidth="1"/>
    <col min="10" max="10" width="13.8515625" style="0" customWidth="1"/>
    <col min="11" max="11" width="9.57421875" style="0" bestFit="1" customWidth="1"/>
  </cols>
  <sheetData>
    <row r="3" ht="15.75">
      <c r="C3" s="13" t="s">
        <v>28</v>
      </c>
    </row>
    <row r="4" spans="1:10" ht="15">
      <c r="A4" s="31" t="s">
        <v>8</v>
      </c>
      <c r="B4" s="31"/>
      <c r="C4" s="31"/>
      <c r="D4" s="31"/>
      <c r="E4" s="31"/>
      <c r="F4" s="31"/>
      <c r="G4" s="31"/>
      <c r="H4" s="31"/>
      <c r="I4" s="31"/>
      <c r="J4" s="31"/>
    </row>
    <row r="5" spans="1:10" ht="76.5" customHeight="1">
      <c r="A5" s="27" t="s">
        <v>0</v>
      </c>
      <c r="B5" s="29" t="s">
        <v>1</v>
      </c>
      <c r="C5" s="27" t="s">
        <v>2</v>
      </c>
      <c r="D5" s="32" t="s">
        <v>7</v>
      </c>
      <c r="E5" s="33"/>
      <c r="F5" s="27" t="s">
        <v>11</v>
      </c>
      <c r="G5" s="27" t="s">
        <v>3</v>
      </c>
      <c r="H5" s="27" t="s">
        <v>4</v>
      </c>
      <c r="I5" s="27" t="s">
        <v>5</v>
      </c>
      <c r="J5" s="29" t="s">
        <v>6</v>
      </c>
    </row>
    <row r="6" spans="1:10" ht="15.75">
      <c r="A6" s="28"/>
      <c r="B6" s="30"/>
      <c r="C6" s="28"/>
      <c r="D6" s="14" t="s">
        <v>16</v>
      </c>
      <c r="E6" s="15" t="s">
        <v>17</v>
      </c>
      <c r="F6" s="28"/>
      <c r="G6" s="28"/>
      <c r="H6" s="28"/>
      <c r="I6" s="28"/>
      <c r="J6" s="30"/>
    </row>
    <row r="7" spans="1:12" ht="15">
      <c r="A7" s="16">
        <v>1</v>
      </c>
      <c r="B7" s="17" t="s">
        <v>23</v>
      </c>
      <c r="C7" s="16"/>
      <c r="D7" s="18"/>
      <c r="E7" s="19"/>
      <c r="F7" s="20">
        <f>19.57+1.77</f>
        <v>21.34</v>
      </c>
      <c r="G7" s="20">
        <f>G8*0.0478</f>
        <v>11.198583999999999</v>
      </c>
      <c r="H7" s="20">
        <f>1.77</f>
        <v>1.77</v>
      </c>
      <c r="I7" s="5">
        <f>10.0372*0.0478</f>
        <v>0.47977816000000006</v>
      </c>
      <c r="J7" s="6">
        <f>I7/2645.8</f>
        <v>0.00018133576234031297</v>
      </c>
      <c r="L7" s="10"/>
    </row>
    <row r="8" spans="1:12" ht="15">
      <c r="A8" s="2">
        <v>2</v>
      </c>
      <c r="B8" s="3" t="s">
        <v>9</v>
      </c>
      <c r="C8" s="6"/>
      <c r="D8" s="4"/>
      <c r="E8" s="4"/>
      <c r="F8" s="6">
        <f>164.49+13.51</f>
        <v>178</v>
      </c>
      <c r="G8" s="5">
        <f>156.39+73.69+4.2</f>
        <v>234.27999999999997</v>
      </c>
      <c r="H8" s="5">
        <f>13.51</f>
        <v>13.51</v>
      </c>
      <c r="I8" s="5">
        <f>F8-G8-H8</f>
        <v>-69.78999999999998</v>
      </c>
      <c r="J8" s="6">
        <f aca="true" t="shared" si="0" ref="J8:J19">I8/2645.8</f>
        <v>-0.026377655151560955</v>
      </c>
      <c r="L8" s="10"/>
    </row>
    <row r="9" spans="1:12" ht="15.75" customHeight="1">
      <c r="A9" s="2">
        <v>3</v>
      </c>
      <c r="B9" s="3" t="s">
        <v>22</v>
      </c>
      <c r="C9" s="5" t="s">
        <v>29</v>
      </c>
      <c r="D9" s="4"/>
      <c r="E9" s="4"/>
      <c r="F9" s="5">
        <f>455.638</f>
        <v>455.638</v>
      </c>
      <c r="G9" s="5">
        <f>184.3+107.78+2.82</f>
        <v>294.90000000000003</v>
      </c>
      <c r="H9" s="5">
        <v>15</v>
      </c>
      <c r="I9" s="5">
        <v>10.0372</v>
      </c>
      <c r="J9" s="6">
        <f t="shared" si="0"/>
        <v>0.0037936351954040363</v>
      </c>
      <c r="L9" s="10"/>
    </row>
    <row r="10" spans="1:10" ht="15">
      <c r="A10" s="2">
        <v>4</v>
      </c>
      <c r="B10" s="3" t="s">
        <v>10</v>
      </c>
      <c r="C10" s="5"/>
      <c r="D10" s="4"/>
      <c r="E10" s="4"/>
      <c r="F10" s="5">
        <f>F8+F9</f>
        <v>633.6379999999999</v>
      </c>
      <c r="G10" s="5">
        <f>310.1+169.5+7.02+23.81+18.75</f>
        <v>529.1800000000001</v>
      </c>
      <c r="H10" s="5">
        <f>H8+H9</f>
        <v>28.509999999999998</v>
      </c>
      <c r="I10" s="5">
        <v>0</v>
      </c>
      <c r="J10" s="6">
        <f t="shared" si="0"/>
        <v>0</v>
      </c>
    </row>
    <row r="11" spans="1:10" ht="15">
      <c r="A11" s="24">
        <v>5</v>
      </c>
      <c r="B11" s="3" t="s">
        <v>12</v>
      </c>
      <c r="C11" s="5"/>
      <c r="D11" s="7">
        <v>8313</v>
      </c>
      <c r="E11" s="7">
        <v>8382</v>
      </c>
      <c r="F11" s="6">
        <f>(E11-D11)*6</f>
        <v>414</v>
      </c>
      <c r="G11" s="5">
        <v>0</v>
      </c>
      <c r="H11" s="5">
        <v>0</v>
      </c>
      <c r="I11" s="5">
        <f aca="true" t="shared" si="1" ref="I11:I16">F11-G11-H11</f>
        <v>414</v>
      </c>
      <c r="J11" s="6">
        <f t="shared" si="0"/>
        <v>0.15647441227606015</v>
      </c>
    </row>
    <row r="12" spans="1:10" ht="15">
      <c r="A12" s="25"/>
      <c r="B12" s="3" t="s">
        <v>14</v>
      </c>
      <c r="C12" s="5"/>
      <c r="D12" s="7">
        <v>3967</v>
      </c>
      <c r="E12" s="7">
        <v>3996</v>
      </c>
      <c r="F12" s="6">
        <f>(E12-D12)*6</f>
        <v>174</v>
      </c>
      <c r="G12" s="5">
        <v>0</v>
      </c>
      <c r="H12" s="5">
        <v>0</v>
      </c>
      <c r="I12" s="5">
        <f t="shared" si="1"/>
        <v>174</v>
      </c>
      <c r="J12" s="6">
        <f t="shared" si="0"/>
        <v>0.06576460805805427</v>
      </c>
    </row>
    <row r="13" spans="1:10" ht="15">
      <c r="A13" s="25"/>
      <c r="B13" s="3" t="s">
        <v>15</v>
      </c>
      <c r="C13" s="5"/>
      <c r="D13" s="7">
        <v>6217</v>
      </c>
      <c r="E13" s="7">
        <v>6277</v>
      </c>
      <c r="F13" s="6">
        <f>(E13-D13)*15</f>
        <v>900</v>
      </c>
      <c r="G13" s="5">
        <v>0</v>
      </c>
      <c r="H13" s="5">
        <v>0</v>
      </c>
      <c r="I13" s="5">
        <f t="shared" si="1"/>
        <v>900</v>
      </c>
      <c r="J13" s="6">
        <f t="shared" si="0"/>
        <v>0.3401617658175221</v>
      </c>
    </row>
    <row r="14" spans="1:10" ht="15">
      <c r="A14" s="25"/>
      <c r="B14" s="3" t="s">
        <v>13</v>
      </c>
      <c r="C14" s="5"/>
      <c r="D14" s="7">
        <v>8478</v>
      </c>
      <c r="E14" s="7">
        <v>8557</v>
      </c>
      <c r="F14" s="6">
        <f>(E14-D14)*15</f>
        <v>1185</v>
      </c>
      <c r="G14" s="5">
        <v>0</v>
      </c>
      <c r="H14" s="5">
        <v>0</v>
      </c>
      <c r="I14" s="5">
        <f t="shared" si="1"/>
        <v>1185</v>
      </c>
      <c r="J14" s="6">
        <f t="shared" si="0"/>
        <v>0.4478796583264041</v>
      </c>
    </row>
    <row r="15" spans="1:12" ht="15">
      <c r="A15" s="25"/>
      <c r="B15" s="3" t="s">
        <v>24</v>
      </c>
      <c r="C15" s="5"/>
      <c r="D15" s="7">
        <v>25432</v>
      </c>
      <c r="E15" s="7">
        <v>25584</v>
      </c>
      <c r="F15" s="6">
        <f>(E15-D15)*1</f>
        <v>152</v>
      </c>
      <c r="G15" s="5">
        <v>0</v>
      </c>
      <c r="H15" s="5">
        <v>0</v>
      </c>
      <c r="I15" s="5">
        <f t="shared" si="1"/>
        <v>152</v>
      </c>
      <c r="J15" s="6">
        <f t="shared" si="0"/>
        <v>0.05744954267140373</v>
      </c>
      <c r="L15" s="10"/>
    </row>
    <row r="16" spans="1:12" ht="15">
      <c r="A16" s="25"/>
      <c r="B16" s="3" t="s">
        <v>25</v>
      </c>
      <c r="C16" s="5"/>
      <c r="D16" s="7">
        <v>27171</v>
      </c>
      <c r="E16" s="7">
        <v>27351</v>
      </c>
      <c r="F16" s="6">
        <f>(E16-D16)*1</f>
        <v>180</v>
      </c>
      <c r="G16" s="5">
        <v>0</v>
      </c>
      <c r="H16" s="5">
        <v>0</v>
      </c>
      <c r="I16" s="5">
        <f t="shared" si="1"/>
        <v>180</v>
      </c>
      <c r="J16" s="6">
        <f t="shared" si="0"/>
        <v>0.06803235316350442</v>
      </c>
      <c r="K16" s="11"/>
      <c r="L16" s="10"/>
    </row>
    <row r="17" spans="1:10" ht="15">
      <c r="A17" s="26"/>
      <c r="B17" s="21" t="s">
        <v>18</v>
      </c>
      <c r="C17" s="21"/>
      <c r="D17" s="8"/>
      <c r="E17" s="21"/>
      <c r="F17" s="22">
        <f>SUM(F11:F16)</f>
        <v>3005</v>
      </c>
      <c r="G17" s="22">
        <f>SUM(G11:G16)</f>
        <v>0</v>
      </c>
      <c r="H17" s="22">
        <f>SUM(H11:H16)</f>
        <v>0</v>
      </c>
      <c r="I17" s="22">
        <f>SUM(I11:I16)</f>
        <v>3005</v>
      </c>
      <c r="J17" s="6">
        <f t="shared" si="0"/>
        <v>1.1357623403129486</v>
      </c>
    </row>
    <row r="18" spans="1:10" ht="15">
      <c r="A18" s="1"/>
      <c r="B18" s="1"/>
      <c r="C18" s="1"/>
      <c r="D18" s="1"/>
      <c r="E18" s="1" t="s">
        <v>19</v>
      </c>
      <c r="F18" s="23">
        <f aca="true" t="shared" si="2" ref="F18:I19">F11+F13+F15</f>
        <v>1466</v>
      </c>
      <c r="G18" s="23">
        <f t="shared" si="2"/>
        <v>0</v>
      </c>
      <c r="H18" s="23">
        <f t="shared" si="2"/>
        <v>0</v>
      </c>
      <c r="I18" s="23">
        <f t="shared" si="2"/>
        <v>1466</v>
      </c>
      <c r="J18" s="6">
        <f t="shared" si="0"/>
        <v>0.554085720764986</v>
      </c>
    </row>
    <row r="19" spans="1:10" ht="15">
      <c r="A19" s="1"/>
      <c r="B19" s="1"/>
      <c r="C19" s="12"/>
      <c r="D19" s="1"/>
      <c r="E19" s="1" t="s">
        <v>20</v>
      </c>
      <c r="F19" s="9">
        <f t="shared" si="2"/>
        <v>1539</v>
      </c>
      <c r="G19" s="9">
        <f t="shared" si="2"/>
        <v>0</v>
      </c>
      <c r="H19" s="9">
        <f t="shared" si="2"/>
        <v>0</v>
      </c>
      <c r="I19" s="9">
        <f t="shared" si="2"/>
        <v>1539</v>
      </c>
      <c r="J19" s="6">
        <f t="shared" si="0"/>
        <v>0.5816766195479628</v>
      </c>
    </row>
    <row r="20" spans="1:8" ht="15">
      <c r="A20" s="1"/>
      <c r="B20" s="1"/>
      <c r="C20" s="1"/>
      <c r="D20" s="1"/>
      <c r="E20" s="1"/>
      <c r="F20" s="1"/>
      <c r="G20" s="1"/>
      <c r="H20" s="1"/>
    </row>
    <row r="21" spans="1:8" ht="15">
      <c r="A21" s="1"/>
      <c r="B21" s="1"/>
      <c r="C21" s="1"/>
      <c r="D21" s="1"/>
      <c r="E21" s="1"/>
      <c r="F21" s="1"/>
      <c r="G21" s="1"/>
      <c r="H21" s="1"/>
    </row>
    <row r="22" spans="1:8" ht="15">
      <c r="A22" s="1"/>
      <c r="B22" s="1"/>
      <c r="C22" s="1"/>
      <c r="D22" s="1"/>
      <c r="E22" s="1"/>
      <c r="F22" s="1"/>
      <c r="G22" s="1"/>
      <c r="H22" s="1"/>
    </row>
    <row r="23" spans="1:8" ht="15">
      <c r="A23" s="1"/>
      <c r="B23" s="1"/>
      <c r="C23" s="1"/>
      <c r="D23" s="1"/>
      <c r="E23" s="1"/>
      <c r="F23" s="1"/>
      <c r="G23" s="1"/>
      <c r="H23" s="1"/>
    </row>
    <row r="24" spans="1:8" ht="15">
      <c r="A24" s="1"/>
      <c r="B24" s="1"/>
      <c r="C24" s="1"/>
      <c r="D24" s="1"/>
      <c r="E24" s="1"/>
      <c r="F24" s="1"/>
      <c r="G24" s="1"/>
      <c r="H24" s="1"/>
    </row>
    <row r="25" spans="1:9" ht="15">
      <c r="A25" s="1"/>
      <c r="B25" s="1"/>
      <c r="C25" s="1"/>
      <c r="D25" s="1"/>
      <c r="E25" s="1"/>
      <c r="F25" s="1"/>
      <c r="G25" s="1"/>
      <c r="H25" s="1"/>
      <c r="I25" t="s">
        <v>21</v>
      </c>
    </row>
    <row r="26" spans="1:8" ht="15">
      <c r="A26" s="1"/>
      <c r="B26" s="1"/>
      <c r="C26" s="1"/>
      <c r="D26" s="1"/>
      <c r="E26" s="1"/>
      <c r="F26" s="1"/>
      <c r="G26" s="1"/>
      <c r="H26" s="1"/>
    </row>
    <row r="27" spans="1:8" ht="15">
      <c r="A27" s="1"/>
      <c r="B27" s="1"/>
      <c r="C27" s="1"/>
      <c r="D27" s="1"/>
      <c r="E27" s="1"/>
      <c r="F27" s="1"/>
      <c r="G27" s="1"/>
      <c r="H27" s="1"/>
    </row>
    <row r="28" spans="1:8" ht="15">
      <c r="A28" s="1"/>
      <c r="B28" s="1"/>
      <c r="C28" s="1"/>
      <c r="D28" s="1"/>
      <c r="E28" s="1"/>
      <c r="F28" s="1"/>
      <c r="G28" s="1"/>
      <c r="H28" s="1"/>
    </row>
    <row r="29" spans="1:8" ht="15">
      <c r="A29" s="1"/>
      <c r="B29" s="1"/>
      <c r="C29" s="1"/>
      <c r="D29" s="1"/>
      <c r="E29" s="1"/>
      <c r="F29" s="1"/>
      <c r="G29" s="1"/>
      <c r="H29" s="1"/>
    </row>
    <row r="30" spans="1:8" ht="15">
      <c r="A30" s="1"/>
      <c r="B30" s="1"/>
      <c r="C30" s="1"/>
      <c r="D30" s="1"/>
      <c r="E30" s="1"/>
      <c r="F30" s="1"/>
      <c r="G30" s="1"/>
      <c r="H30" s="1"/>
    </row>
    <row r="31" spans="1:8" ht="15">
      <c r="A31" s="1"/>
      <c r="B31" s="1"/>
      <c r="C31" s="1"/>
      <c r="D31" s="1"/>
      <c r="E31" s="1"/>
      <c r="F31" s="1"/>
      <c r="G31" s="1"/>
      <c r="H31" s="1"/>
    </row>
  </sheetData>
  <sheetProtection/>
  <mergeCells count="11">
    <mergeCell ref="A4:J4"/>
    <mergeCell ref="A5:A6"/>
    <mergeCell ref="B5:B6"/>
    <mergeCell ref="C5:C6"/>
    <mergeCell ref="D5:E5"/>
    <mergeCell ref="F5:F6"/>
    <mergeCell ref="G5:G6"/>
    <mergeCell ref="H5:H6"/>
    <mergeCell ref="A11:A17"/>
    <mergeCell ref="I5:I6"/>
    <mergeCell ref="J5:J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L31"/>
  <sheetViews>
    <sheetView zoomScalePageLayoutView="0" workbookViewId="0" topLeftCell="A1">
      <pane xSplit="4" ySplit="10" topLeftCell="E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B7" sqref="B7"/>
    </sheetView>
  </sheetViews>
  <sheetFormatPr defaultColWidth="9.140625" defaultRowHeight="15"/>
  <cols>
    <col min="1" max="1" width="5.00390625" style="0" customWidth="1"/>
    <col min="2" max="2" width="25.00390625" style="0" customWidth="1"/>
    <col min="3" max="3" width="18.140625" style="0" customWidth="1"/>
    <col min="4" max="4" width="15.57421875" style="0" customWidth="1"/>
    <col min="5" max="5" width="15.140625" style="0" customWidth="1"/>
    <col min="6" max="6" width="15.57421875" style="0" customWidth="1"/>
    <col min="7" max="7" width="16.7109375" style="0" customWidth="1"/>
    <col min="8" max="8" width="15.8515625" style="0" customWidth="1"/>
    <col min="9" max="9" width="12.421875" style="0" customWidth="1"/>
    <col min="10" max="10" width="13.8515625" style="0" customWidth="1"/>
    <col min="11" max="11" width="9.57421875" style="0" bestFit="1" customWidth="1"/>
  </cols>
  <sheetData>
    <row r="3" ht="15.75">
      <c r="C3" s="13" t="s">
        <v>30</v>
      </c>
    </row>
    <row r="4" spans="1:10" ht="15">
      <c r="A4" s="31" t="s">
        <v>8</v>
      </c>
      <c r="B4" s="31"/>
      <c r="C4" s="31"/>
      <c r="D4" s="31"/>
      <c r="E4" s="31"/>
      <c r="F4" s="31"/>
      <c r="G4" s="31"/>
      <c r="H4" s="31"/>
      <c r="I4" s="31"/>
      <c r="J4" s="31"/>
    </row>
    <row r="5" spans="1:10" ht="76.5" customHeight="1">
      <c r="A5" s="27" t="s">
        <v>0</v>
      </c>
      <c r="B5" s="29" t="s">
        <v>1</v>
      </c>
      <c r="C5" s="27" t="s">
        <v>2</v>
      </c>
      <c r="D5" s="32" t="s">
        <v>7</v>
      </c>
      <c r="E5" s="33"/>
      <c r="F5" s="27" t="s">
        <v>11</v>
      </c>
      <c r="G5" s="27" t="s">
        <v>3</v>
      </c>
      <c r="H5" s="27" t="s">
        <v>4</v>
      </c>
      <c r="I5" s="27" t="s">
        <v>5</v>
      </c>
      <c r="J5" s="29" t="s">
        <v>6</v>
      </c>
    </row>
    <row r="6" spans="1:10" ht="15.75">
      <c r="A6" s="28"/>
      <c r="B6" s="30"/>
      <c r="C6" s="28"/>
      <c r="D6" s="14" t="s">
        <v>16</v>
      </c>
      <c r="E6" s="15" t="s">
        <v>17</v>
      </c>
      <c r="F6" s="28"/>
      <c r="G6" s="28"/>
      <c r="H6" s="28"/>
      <c r="I6" s="28"/>
      <c r="J6" s="30"/>
    </row>
    <row r="7" spans="1:12" ht="15">
      <c r="A7" s="16">
        <v>1</v>
      </c>
      <c r="B7" s="17" t="s">
        <v>23</v>
      </c>
      <c r="C7" s="16"/>
      <c r="D7" s="18"/>
      <c r="E7" s="19"/>
      <c r="F7" s="20">
        <f>19.39+1.75</f>
        <v>21.14</v>
      </c>
      <c r="G7" s="20">
        <f>G8*0.0478</f>
        <v>12.09818</v>
      </c>
      <c r="H7" s="20">
        <f>1.75</f>
        <v>1.75</v>
      </c>
      <c r="I7" s="5">
        <f>10.0372*0.0478</f>
        <v>0.47977816000000006</v>
      </c>
      <c r="J7" s="6">
        <f>I7/2645.8</f>
        <v>0.00018133576234031297</v>
      </c>
      <c r="L7" s="10"/>
    </row>
    <row r="8" spans="1:12" ht="15">
      <c r="A8" s="2">
        <v>2</v>
      </c>
      <c r="B8" s="3" t="s">
        <v>9</v>
      </c>
      <c r="C8" s="6"/>
      <c r="D8" s="4"/>
      <c r="E8" s="4"/>
      <c r="F8" s="6">
        <f>152.66+12.54</f>
        <v>165.2</v>
      </c>
      <c r="G8" s="5">
        <f>156.39+96.71</f>
        <v>253.09999999999997</v>
      </c>
      <c r="H8" s="5">
        <f>12.54</f>
        <v>12.54</v>
      </c>
      <c r="I8" s="5">
        <f>F8-G8-H8</f>
        <v>-100.43999999999997</v>
      </c>
      <c r="J8" s="6">
        <f aca="true" t="shared" si="0" ref="J8:J19">I8/2645.8</f>
        <v>-0.03796205306523545</v>
      </c>
      <c r="L8" s="10"/>
    </row>
    <row r="9" spans="1:12" ht="15.75" customHeight="1">
      <c r="A9" s="2">
        <v>3</v>
      </c>
      <c r="B9" s="3" t="s">
        <v>22</v>
      </c>
      <c r="C9" s="5" t="s">
        <v>31</v>
      </c>
      <c r="D9" s="4"/>
      <c r="E9" s="4"/>
      <c r="F9" s="5">
        <f>408.86</f>
        <v>408.86</v>
      </c>
      <c r="G9" s="5">
        <f>184.3+144.27+1.98</f>
        <v>330.55000000000007</v>
      </c>
      <c r="H9" s="5">
        <f>10</f>
        <v>10</v>
      </c>
      <c r="I9" s="5">
        <f>10.0372</f>
        <v>10.0372</v>
      </c>
      <c r="J9" s="6">
        <f t="shared" si="0"/>
        <v>0.0037936351954040363</v>
      </c>
      <c r="L9" s="10"/>
    </row>
    <row r="10" spans="1:10" ht="15">
      <c r="A10" s="2">
        <v>4</v>
      </c>
      <c r="B10" s="3" t="s">
        <v>10</v>
      </c>
      <c r="C10" s="5"/>
      <c r="D10" s="4"/>
      <c r="E10" s="4"/>
      <c r="F10" s="5">
        <f>F8+F9</f>
        <v>574.06</v>
      </c>
      <c r="G10" s="5">
        <f>310.1+232.66+23.14+17.75</f>
        <v>583.65</v>
      </c>
      <c r="H10" s="5">
        <f>H8+H9</f>
        <v>22.54</v>
      </c>
      <c r="I10" s="5">
        <v>0</v>
      </c>
      <c r="J10" s="6">
        <f t="shared" si="0"/>
        <v>0</v>
      </c>
    </row>
    <row r="11" spans="1:10" ht="15">
      <c r="A11" s="24">
        <v>5</v>
      </c>
      <c r="B11" s="3" t="s">
        <v>12</v>
      </c>
      <c r="C11" s="5"/>
      <c r="D11" s="7">
        <v>8382</v>
      </c>
      <c r="E11" s="7">
        <v>8440</v>
      </c>
      <c r="F11" s="6">
        <f>(E11-D11)*6</f>
        <v>348</v>
      </c>
      <c r="G11" s="5">
        <v>0</v>
      </c>
      <c r="H11" s="5">
        <v>0</v>
      </c>
      <c r="I11" s="5">
        <f aca="true" t="shared" si="1" ref="I11:I16">F11-G11-H11</f>
        <v>348</v>
      </c>
      <c r="J11" s="6">
        <f t="shared" si="0"/>
        <v>0.13152921611610854</v>
      </c>
    </row>
    <row r="12" spans="1:10" ht="15">
      <c r="A12" s="25"/>
      <c r="B12" s="3" t="s">
        <v>14</v>
      </c>
      <c r="C12" s="5"/>
      <c r="D12" s="7">
        <v>3996</v>
      </c>
      <c r="E12" s="7">
        <v>4019</v>
      </c>
      <c r="F12" s="6">
        <f>(E12-D12)*6</f>
        <v>138</v>
      </c>
      <c r="G12" s="5">
        <v>0</v>
      </c>
      <c r="H12" s="5">
        <v>0</v>
      </c>
      <c r="I12" s="5">
        <f t="shared" si="1"/>
        <v>138</v>
      </c>
      <c r="J12" s="6">
        <f t="shared" si="0"/>
        <v>0.052158137425353385</v>
      </c>
    </row>
    <row r="13" spans="1:10" ht="15">
      <c r="A13" s="25"/>
      <c r="B13" s="3" t="s">
        <v>15</v>
      </c>
      <c r="C13" s="5"/>
      <c r="D13" s="7">
        <v>6277</v>
      </c>
      <c r="E13" s="7">
        <v>6322</v>
      </c>
      <c r="F13" s="6">
        <f>(E13-D13)*15</f>
        <v>675</v>
      </c>
      <c r="G13" s="5">
        <v>0</v>
      </c>
      <c r="H13" s="5">
        <v>0</v>
      </c>
      <c r="I13" s="5">
        <f t="shared" si="1"/>
        <v>675</v>
      </c>
      <c r="J13" s="6">
        <f t="shared" si="0"/>
        <v>0.25512132436314156</v>
      </c>
    </row>
    <row r="14" spans="1:10" ht="15">
      <c r="A14" s="25"/>
      <c r="B14" s="3" t="s">
        <v>13</v>
      </c>
      <c r="C14" s="5"/>
      <c r="D14" s="7">
        <v>8557</v>
      </c>
      <c r="E14" s="7">
        <v>8618</v>
      </c>
      <c r="F14" s="6">
        <f>(E14-D14)*15</f>
        <v>915</v>
      </c>
      <c r="G14" s="5">
        <v>0</v>
      </c>
      <c r="H14" s="5">
        <v>0</v>
      </c>
      <c r="I14" s="5">
        <f t="shared" si="1"/>
        <v>915</v>
      </c>
      <c r="J14" s="6">
        <f t="shared" si="0"/>
        <v>0.34583112858114745</v>
      </c>
    </row>
    <row r="15" spans="1:12" ht="15">
      <c r="A15" s="25"/>
      <c r="B15" s="3" t="s">
        <v>24</v>
      </c>
      <c r="C15" s="5"/>
      <c r="D15" s="7">
        <v>25584</v>
      </c>
      <c r="E15" s="7">
        <v>25710</v>
      </c>
      <c r="F15" s="6">
        <f>(E15-D15)*1</f>
        <v>126</v>
      </c>
      <c r="G15" s="5">
        <v>0</v>
      </c>
      <c r="H15" s="5">
        <v>0</v>
      </c>
      <c r="I15" s="5">
        <f t="shared" si="1"/>
        <v>126</v>
      </c>
      <c r="J15" s="6">
        <f t="shared" si="0"/>
        <v>0.04762264721445309</v>
      </c>
      <c r="L15" s="10"/>
    </row>
    <row r="16" spans="1:12" ht="15">
      <c r="A16" s="25"/>
      <c r="B16" s="3" t="s">
        <v>25</v>
      </c>
      <c r="C16" s="5"/>
      <c r="D16" s="7">
        <v>27351</v>
      </c>
      <c r="E16" s="7">
        <v>27496</v>
      </c>
      <c r="F16" s="6">
        <f>(E16-D16)*1</f>
        <v>145</v>
      </c>
      <c r="G16" s="5">
        <v>0</v>
      </c>
      <c r="H16" s="5">
        <v>0</v>
      </c>
      <c r="I16" s="5">
        <f t="shared" si="1"/>
        <v>145</v>
      </c>
      <c r="J16" s="6">
        <f t="shared" si="0"/>
        <v>0.05480384004837856</v>
      </c>
      <c r="K16" s="11"/>
      <c r="L16" s="10"/>
    </row>
    <row r="17" spans="1:10" ht="15">
      <c r="A17" s="26"/>
      <c r="B17" s="21" t="s">
        <v>18</v>
      </c>
      <c r="C17" s="21"/>
      <c r="D17" s="8"/>
      <c r="E17" s="21"/>
      <c r="F17" s="22">
        <f>SUM(F11:F16)</f>
        <v>2347</v>
      </c>
      <c r="G17" s="22">
        <f>SUM(G11:G16)</f>
        <v>0</v>
      </c>
      <c r="H17" s="22">
        <f>SUM(H11:H16)</f>
        <v>0</v>
      </c>
      <c r="I17" s="22">
        <f>SUM(I11:I16)</f>
        <v>2347</v>
      </c>
      <c r="J17" s="6">
        <f t="shared" si="0"/>
        <v>0.8870662937485826</v>
      </c>
    </row>
    <row r="18" spans="1:10" ht="15">
      <c r="A18" s="1"/>
      <c r="B18" s="1"/>
      <c r="C18" s="1"/>
      <c r="D18" s="1"/>
      <c r="E18" s="1" t="s">
        <v>19</v>
      </c>
      <c r="F18" s="23">
        <f aca="true" t="shared" si="2" ref="F18:I19">F11+F13+F15</f>
        <v>1149</v>
      </c>
      <c r="G18" s="23">
        <f t="shared" si="2"/>
        <v>0</v>
      </c>
      <c r="H18" s="23">
        <f t="shared" si="2"/>
        <v>0</v>
      </c>
      <c r="I18" s="23">
        <f t="shared" si="2"/>
        <v>1149</v>
      </c>
      <c r="J18" s="6">
        <f t="shared" si="0"/>
        <v>0.4342731876937032</v>
      </c>
    </row>
    <row r="19" spans="1:10" ht="15">
      <c r="A19" s="1"/>
      <c r="B19" s="1"/>
      <c r="C19" s="12"/>
      <c r="D19" s="1"/>
      <c r="E19" s="1" t="s">
        <v>20</v>
      </c>
      <c r="F19" s="9">
        <f t="shared" si="2"/>
        <v>1198</v>
      </c>
      <c r="G19" s="9">
        <f t="shared" si="2"/>
        <v>0</v>
      </c>
      <c r="H19" s="9">
        <f t="shared" si="2"/>
        <v>0</v>
      </c>
      <c r="I19" s="9">
        <f t="shared" si="2"/>
        <v>1198</v>
      </c>
      <c r="J19" s="6">
        <f t="shared" si="0"/>
        <v>0.4527931060548794</v>
      </c>
    </row>
    <row r="20" spans="1:8" ht="15">
      <c r="A20" s="1"/>
      <c r="B20" s="1"/>
      <c r="C20" s="1"/>
      <c r="D20" s="1"/>
      <c r="E20" s="1"/>
      <c r="F20" s="1"/>
      <c r="G20" s="1"/>
      <c r="H20" s="1"/>
    </row>
    <row r="21" spans="1:8" ht="15">
      <c r="A21" s="1"/>
      <c r="B21" s="1"/>
      <c r="C21" s="1"/>
      <c r="D21" s="1"/>
      <c r="E21" s="1"/>
      <c r="F21" s="1"/>
      <c r="G21" s="1"/>
      <c r="H21" s="1"/>
    </row>
    <row r="22" spans="1:8" ht="15">
      <c r="A22" s="1"/>
      <c r="B22" s="1"/>
      <c r="C22" s="1"/>
      <c r="D22" s="1"/>
      <c r="E22" s="1"/>
      <c r="F22" s="1"/>
      <c r="G22" s="1"/>
      <c r="H22" s="1"/>
    </row>
    <row r="23" spans="1:8" ht="15">
      <c r="A23" s="1"/>
      <c r="B23" s="1"/>
      <c r="C23" s="1"/>
      <c r="D23" s="1"/>
      <c r="E23" s="1"/>
      <c r="F23" s="1"/>
      <c r="G23" s="1"/>
      <c r="H23" s="1"/>
    </row>
    <row r="24" spans="1:8" ht="15">
      <c r="A24" s="1"/>
      <c r="B24" s="1"/>
      <c r="C24" s="1"/>
      <c r="D24" s="1"/>
      <c r="E24" s="1"/>
      <c r="F24" s="1"/>
      <c r="G24" s="1"/>
      <c r="H24" s="1"/>
    </row>
    <row r="25" spans="1:9" ht="15">
      <c r="A25" s="1"/>
      <c r="B25" s="1"/>
      <c r="C25" s="1"/>
      <c r="D25" s="1"/>
      <c r="E25" s="1"/>
      <c r="F25" s="1"/>
      <c r="G25" s="1"/>
      <c r="H25" s="1"/>
      <c r="I25" t="s">
        <v>21</v>
      </c>
    </row>
    <row r="26" spans="1:8" ht="15">
      <c r="A26" s="1"/>
      <c r="B26" s="1"/>
      <c r="C26" s="1"/>
      <c r="D26" s="1"/>
      <c r="E26" s="1"/>
      <c r="F26" s="1"/>
      <c r="G26" s="1"/>
      <c r="H26" s="1"/>
    </row>
    <row r="27" spans="1:8" ht="15">
      <c r="A27" s="1"/>
      <c r="B27" s="1"/>
      <c r="C27" s="1"/>
      <c r="D27" s="1"/>
      <c r="E27" s="1"/>
      <c r="F27" s="1"/>
      <c r="G27" s="1"/>
      <c r="H27" s="1"/>
    </row>
    <row r="28" spans="1:8" ht="15">
      <c r="A28" s="1"/>
      <c r="B28" s="1"/>
      <c r="C28" s="1"/>
      <c r="D28" s="1"/>
      <c r="E28" s="1"/>
      <c r="F28" s="1"/>
      <c r="G28" s="1"/>
      <c r="H28" s="1"/>
    </row>
    <row r="29" spans="1:8" ht="15">
      <c r="A29" s="1"/>
      <c r="B29" s="1"/>
      <c r="C29" s="1"/>
      <c r="D29" s="1"/>
      <c r="E29" s="1"/>
      <c r="F29" s="1"/>
      <c r="G29" s="1"/>
      <c r="H29" s="1"/>
    </row>
    <row r="30" spans="1:8" ht="15">
      <c r="A30" s="1"/>
      <c r="B30" s="1"/>
      <c r="C30" s="1"/>
      <c r="D30" s="1"/>
      <c r="E30" s="1"/>
      <c r="F30" s="1"/>
      <c r="G30" s="1"/>
      <c r="H30" s="1"/>
    </row>
    <row r="31" spans="1:8" ht="15">
      <c r="A31" s="1"/>
      <c r="B31" s="1"/>
      <c r="C31" s="1"/>
      <c r="D31" s="1"/>
      <c r="E31" s="1"/>
      <c r="F31" s="1"/>
      <c r="G31" s="1"/>
      <c r="H31" s="1"/>
    </row>
  </sheetData>
  <sheetProtection/>
  <mergeCells count="11">
    <mergeCell ref="A11:A17"/>
    <mergeCell ref="I5:I6"/>
    <mergeCell ref="J5:J6"/>
    <mergeCell ref="A4:J4"/>
    <mergeCell ref="A5:A6"/>
    <mergeCell ref="B5:B6"/>
    <mergeCell ref="C5:C6"/>
    <mergeCell ref="D5:E5"/>
    <mergeCell ref="F5:F6"/>
    <mergeCell ref="G5:G6"/>
    <mergeCell ref="H5:H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L31"/>
  <sheetViews>
    <sheetView zoomScalePageLayoutView="0" workbookViewId="0" topLeftCell="A1">
      <pane xSplit="4" ySplit="10" topLeftCell="E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B5" sqref="B5:B6"/>
    </sheetView>
  </sheetViews>
  <sheetFormatPr defaultColWidth="9.140625" defaultRowHeight="15"/>
  <cols>
    <col min="1" max="1" width="5.00390625" style="0" customWidth="1"/>
    <col min="2" max="2" width="25.00390625" style="0" customWidth="1"/>
    <col min="3" max="3" width="18.140625" style="0" customWidth="1"/>
    <col min="4" max="4" width="15.57421875" style="0" customWidth="1"/>
    <col min="5" max="5" width="15.140625" style="0" customWidth="1"/>
    <col min="6" max="6" width="15.57421875" style="0" customWidth="1"/>
    <col min="7" max="7" width="16.7109375" style="0" customWidth="1"/>
    <col min="8" max="8" width="15.8515625" style="0" customWidth="1"/>
    <col min="9" max="9" width="12.421875" style="0" customWidth="1"/>
    <col min="10" max="10" width="13.8515625" style="0" customWidth="1"/>
    <col min="11" max="11" width="9.57421875" style="0" bestFit="1" customWidth="1"/>
  </cols>
  <sheetData>
    <row r="3" ht="15.75">
      <c r="C3" s="13" t="s">
        <v>32</v>
      </c>
    </row>
    <row r="4" spans="1:10" ht="15">
      <c r="A4" s="31" t="s">
        <v>8</v>
      </c>
      <c r="B4" s="31"/>
      <c r="C4" s="31"/>
      <c r="D4" s="31"/>
      <c r="E4" s="31"/>
      <c r="F4" s="31"/>
      <c r="G4" s="31"/>
      <c r="H4" s="31"/>
      <c r="I4" s="31"/>
      <c r="J4" s="31"/>
    </row>
    <row r="5" spans="1:10" ht="76.5" customHeight="1">
      <c r="A5" s="27" t="s">
        <v>0</v>
      </c>
      <c r="B5" s="29" t="s">
        <v>1</v>
      </c>
      <c r="C5" s="27" t="s">
        <v>2</v>
      </c>
      <c r="D5" s="32" t="s">
        <v>7</v>
      </c>
      <c r="E5" s="33"/>
      <c r="F5" s="27" t="s">
        <v>11</v>
      </c>
      <c r="G5" s="27" t="s">
        <v>3</v>
      </c>
      <c r="H5" s="27" t="s">
        <v>4</v>
      </c>
      <c r="I5" s="27" t="s">
        <v>5</v>
      </c>
      <c r="J5" s="29" t="s">
        <v>6</v>
      </c>
    </row>
    <row r="6" spans="1:10" ht="15.75">
      <c r="A6" s="28"/>
      <c r="B6" s="30"/>
      <c r="C6" s="28"/>
      <c r="D6" s="14" t="s">
        <v>16</v>
      </c>
      <c r="E6" s="15" t="s">
        <v>17</v>
      </c>
      <c r="F6" s="28"/>
      <c r="G6" s="28"/>
      <c r="H6" s="28"/>
      <c r="I6" s="28"/>
      <c r="J6" s="30"/>
    </row>
    <row r="7" spans="1:12" ht="15">
      <c r="A7" s="16">
        <v>1</v>
      </c>
      <c r="B7" s="17" t="s">
        <v>23</v>
      </c>
      <c r="C7" s="16"/>
      <c r="D7" s="18"/>
      <c r="E7" s="19"/>
      <c r="F7" s="20">
        <f>18.83+2.2</f>
        <v>21.029999999999998</v>
      </c>
      <c r="G7" s="20">
        <f>G8*0.0478</f>
        <v>12.464806</v>
      </c>
      <c r="H7" s="20">
        <f>2.2</f>
        <v>2.2</v>
      </c>
      <c r="I7" s="5">
        <f>10.0372*0.0478</f>
        <v>0.47977816000000006</v>
      </c>
      <c r="J7" s="6">
        <f aca="true" t="shared" si="0" ref="J7:J19">I7/2645.8</f>
        <v>0.00018133576234031297</v>
      </c>
      <c r="L7" s="10"/>
    </row>
    <row r="8" spans="1:12" ht="15">
      <c r="A8" s="2">
        <v>2</v>
      </c>
      <c r="B8" s="3" t="s">
        <v>33</v>
      </c>
      <c r="C8" s="6"/>
      <c r="D8" s="4"/>
      <c r="E8" s="4"/>
      <c r="F8" s="6">
        <f>153.66+17.84</f>
        <v>171.5</v>
      </c>
      <c r="G8" s="5">
        <f>156.39+99.86+4.52</f>
        <v>260.77</v>
      </c>
      <c r="H8" s="5">
        <f>17.84</f>
        <v>17.84</v>
      </c>
      <c r="I8" s="5">
        <f>F8-G8-H8</f>
        <v>-107.10999999999999</v>
      </c>
      <c r="J8" s="6">
        <f t="shared" si="0"/>
        <v>-0.04048302970746087</v>
      </c>
      <c r="L8" s="10"/>
    </row>
    <row r="9" spans="1:12" ht="15.75" customHeight="1">
      <c r="A9" s="2">
        <v>3</v>
      </c>
      <c r="B9" s="3" t="s">
        <v>34</v>
      </c>
      <c r="C9" s="5" t="s">
        <v>35</v>
      </c>
      <c r="D9" s="4"/>
      <c r="E9" s="4"/>
      <c r="F9" s="5">
        <f>421.135</f>
        <v>421.135</v>
      </c>
      <c r="G9" s="5">
        <f>184.3+145.69+6.01</f>
        <v>336</v>
      </c>
      <c r="H9" s="5">
        <f>13</f>
        <v>13</v>
      </c>
      <c r="I9" s="5">
        <v>10.0372</v>
      </c>
      <c r="J9" s="6">
        <f t="shared" si="0"/>
        <v>0.0037936351954040363</v>
      </c>
      <c r="L9" s="10"/>
    </row>
    <row r="10" spans="1:10" ht="15">
      <c r="A10" s="2">
        <v>4</v>
      </c>
      <c r="B10" s="3" t="s">
        <v>36</v>
      </c>
      <c r="C10" s="5"/>
      <c r="D10" s="4"/>
      <c r="E10" s="4"/>
      <c r="F10" s="5">
        <f>F8+F9</f>
        <v>592.635</v>
      </c>
      <c r="G10" s="5">
        <f>310.1+237.73+8.14+24.35+16.45</f>
        <v>596.7700000000001</v>
      </c>
      <c r="H10" s="5">
        <f>H8+H9</f>
        <v>30.84</v>
      </c>
      <c r="I10" s="5">
        <v>0</v>
      </c>
      <c r="J10" s="6">
        <f t="shared" si="0"/>
        <v>0</v>
      </c>
    </row>
    <row r="11" spans="1:10" ht="15">
      <c r="A11" s="24">
        <v>5</v>
      </c>
      <c r="B11" s="3" t="s">
        <v>12</v>
      </c>
      <c r="C11" s="5"/>
      <c r="D11" s="7">
        <v>8440</v>
      </c>
      <c r="E11" s="7">
        <v>8510</v>
      </c>
      <c r="F11" s="6">
        <f>(E11-D11)*6</f>
        <v>420</v>
      </c>
      <c r="G11" s="5">
        <v>0</v>
      </c>
      <c r="H11" s="5">
        <v>0</v>
      </c>
      <c r="I11" s="5">
        <f aca="true" t="shared" si="1" ref="I11:I16">F11-G11-H11</f>
        <v>420</v>
      </c>
      <c r="J11" s="6">
        <f t="shared" si="0"/>
        <v>0.15874215738151032</v>
      </c>
    </row>
    <row r="12" spans="1:10" ht="15">
      <c r="A12" s="25"/>
      <c r="B12" s="3" t="s">
        <v>14</v>
      </c>
      <c r="C12" s="5"/>
      <c r="D12" s="7">
        <v>4019</v>
      </c>
      <c r="E12" s="7">
        <v>4050</v>
      </c>
      <c r="F12" s="6">
        <f>(E12-D12)*6</f>
        <v>186</v>
      </c>
      <c r="G12" s="5">
        <v>0</v>
      </c>
      <c r="H12" s="5">
        <v>0</v>
      </c>
      <c r="I12" s="5">
        <f t="shared" si="1"/>
        <v>186</v>
      </c>
      <c r="J12" s="6">
        <f t="shared" si="0"/>
        <v>0.07030009826895456</v>
      </c>
    </row>
    <row r="13" spans="1:10" ht="15">
      <c r="A13" s="25"/>
      <c r="B13" s="3" t="s">
        <v>15</v>
      </c>
      <c r="C13" s="5"/>
      <c r="D13" s="7">
        <v>6322</v>
      </c>
      <c r="E13" s="7">
        <v>6370</v>
      </c>
      <c r="F13" s="6">
        <f>(E13-D13)*15</f>
        <v>720</v>
      </c>
      <c r="G13" s="5">
        <v>0</v>
      </c>
      <c r="H13" s="5">
        <v>0</v>
      </c>
      <c r="I13" s="5">
        <f t="shared" si="1"/>
        <v>720</v>
      </c>
      <c r="J13" s="6">
        <f t="shared" si="0"/>
        <v>0.2721294126540177</v>
      </c>
    </row>
    <row r="14" spans="1:10" ht="15">
      <c r="A14" s="25"/>
      <c r="B14" s="3" t="s">
        <v>13</v>
      </c>
      <c r="C14" s="5"/>
      <c r="D14" s="7">
        <v>8618</v>
      </c>
      <c r="E14" s="7">
        <v>8690</v>
      </c>
      <c r="F14" s="6">
        <f>(E14-D14)*15</f>
        <v>1080</v>
      </c>
      <c r="G14" s="5">
        <v>0</v>
      </c>
      <c r="H14" s="5">
        <v>0</v>
      </c>
      <c r="I14" s="5">
        <f t="shared" si="1"/>
        <v>1080</v>
      </c>
      <c r="J14" s="6">
        <f t="shared" si="0"/>
        <v>0.4081941189810265</v>
      </c>
    </row>
    <row r="15" spans="1:12" ht="15">
      <c r="A15" s="25"/>
      <c r="B15" s="3" t="s">
        <v>24</v>
      </c>
      <c r="C15" s="5"/>
      <c r="D15" s="7">
        <v>25710</v>
      </c>
      <c r="E15" s="7">
        <v>25910</v>
      </c>
      <c r="F15" s="6">
        <f>(E15-D15)*1</f>
        <v>200</v>
      </c>
      <c r="G15" s="5">
        <v>0</v>
      </c>
      <c r="H15" s="5">
        <v>0</v>
      </c>
      <c r="I15" s="5">
        <f t="shared" si="1"/>
        <v>200</v>
      </c>
      <c r="J15" s="6">
        <f t="shared" si="0"/>
        <v>0.0755915035150049</v>
      </c>
      <c r="L15" s="10"/>
    </row>
    <row r="16" spans="1:12" ht="15">
      <c r="A16" s="25"/>
      <c r="B16" s="3" t="s">
        <v>25</v>
      </c>
      <c r="C16" s="5"/>
      <c r="D16" s="7">
        <v>27496</v>
      </c>
      <c r="E16" s="7">
        <v>27590</v>
      </c>
      <c r="F16" s="6">
        <f>(E16-D16)*1</f>
        <v>94</v>
      </c>
      <c r="G16" s="5">
        <v>0</v>
      </c>
      <c r="H16" s="5">
        <v>0</v>
      </c>
      <c r="I16" s="5">
        <f t="shared" si="1"/>
        <v>94</v>
      </c>
      <c r="J16" s="6">
        <f t="shared" si="0"/>
        <v>0.03552800665205231</v>
      </c>
      <c r="K16" s="11"/>
      <c r="L16" s="10"/>
    </row>
    <row r="17" spans="1:10" ht="15">
      <c r="A17" s="26"/>
      <c r="B17" s="21" t="s">
        <v>18</v>
      </c>
      <c r="C17" s="21"/>
      <c r="D17" s="8"/>
      <c r="E17" s="21"/>
      <c r="F17" s="22">
        <f>SUM(F11:F16)</f>
        <v>2700</v>
      </c>
      <c r="G17" s="22">
        <f>SUM(G11:G16)</f>
        <v>0</v>
      </c>
      <c r="H17" s="22">
        <f>SUM(H11:H16)</f>
        <v>0</v>
      </c>
      <c r="I17" s="22">
        <f>SUM(I11:I16)</f>
        <v>2700</v>
      </c>
      <c r="J17" s="6">
        <f t="shared" si="0"/>
        <v>1.0204852974525662</v>
      </c>
    </row>
    <row r="18" spans="1:10" ht="15">
      <c r="A18" s="1"/>
      <c r="B18" s="1"/>
      <c r="C18" s="1"/>
      <c r="D18" s="1"/>
      <c r="E18" s="1" t="s">
        <v>19</v>
      </c>
      <c r="F18" s="23">
        <f aca="true" t="shared" si="2" ref="F18:I19">F11+F13+F15</f>
        <v>1340</v>
      </c>
      <c r="G18" s="23">
        <f t="shared" si="2"/>
        <v>0</v>
      </c>
      <c r="H18" s="23">
        <f t="shared" si="2"/>
        <v>0</v>
      </c>
      <c r="I18" s="23">
        <f t="shared" si="2"/>
        <v>1340</v>
      </c>
      <c r="J18" s="6">
        <f t="shared" si="0"/>
        <v>0.5064630735505329</v>
      </c>
    </row>
    <row r="19" spans="1:10" ht="15">
      <c r="A19" s="1"/>
      <c r="B19" s="1"/>
      <c r="C19" s="12"/>
      <c r="D19" s="1"/>
      <c r="E19" s="1" t="s">
        <v>20</v>
      </c>
      <c r="F19" s="9">
        <f t="shared" si="2"/>
        <v>1360</v>
      </c>
      <c r="G19" s="9">
        <f t="shared" si="2"/>
        <v>0</v>
      </c>
      <c r="H19" s="9">
        <f t="shared" si="2"/>
        <v>0</v>
      </c>
      <c r="I19" s="9">
        <f t="shared" si="2"/>
        <v>1360</v>
      </c>
      <c r="J19" s="6">
        <f t="shared" si="0"/>
        <v>0.5140222239020333</v>
      </c>
    </row>
    <row r="20" spans="1:8" ht="15">
      <c r="A20" s="1"/>
      <c r="B20" s="1"/>
      <c r="C20" s="1"/>
      <c r="D20" s="1"/>
      <c r="E20" s="1"/>
      <c r="F20" s="1"/>
      <c r="G20" s="1"/>
      <c r="H20" s="1"/>
    </row>
    <row r="21" spans="1:8" ht="15">
      <c r="A21" s="1"/>
      <c r="B21" s="1"/>
      <c r="C21" s="1"/>
      <c r="D21" s="1"/>
      <c r="E21" s="1"/>
      <c r="F21" s="1"/>
      <c r="G21" s="1"/>
      <c r="H21" s="1"/>
    </row>
    <row r="22" spans="1:8" ht="15">
      <c r="A22" s="1"/>
      <c r="B22" s="1"/>
      <c r="C22" s="1"/>
      <c r="D22" s="1"/>
      <c r="E22" s="1"/>
      <c r="F22" s="1"/>
      <c r="G22" s="1"/>
      <c r="H22" s="1"/>
    </row>
    <row r="23" spans="1:8" ht="15">
      <c r="A23" s="1"/>
      <c r="B23" s="1"/>
      <c r="C23" s="1"/>
      <c r="D23" s="1"/>
      <c r="E23" s="1"/>
      <c r="F23" s="1"/>
      <c r="G23" s="1"/>
      <c r="H23" s="1"/>
    </row>
    <row r="24" spans="1:8" ht="15">
      <c r="A24" s="1"/>
      <c r="B24" s="1"/>
      <c r="C24" s="1"/>
      <c r="D24" s="1"/>
      <c r="E24" s="1"/>
      <c r="F24" s="1"/>
      <c r="G24" s="1"/>
      <c r="H24" s="1"/>
    </row>
    <row r="25" spans="1:9" ht="15">
      <c r="A25" s="1"/>
      <c r="B25" s="1"/>
      <c r="C25" s="1"/>
      <c r="D25" s="1"/>
      <c r="E25" s="1"/>
      <c r="F25" s="1"/>
      <c r="G25" s="1"/>
      <c r="H25" s="1"/>
      <c r="I25" t="s">
        <v>21</v>
      </c>
    </row>
    <row r="26" spans="1:8" ht="15">
      <c r="A26" s="1"/>
      <c r="B26" s="1"/>
      <c r="C26" s="1"/>
      <c r="D26" s="1"/>
      <c r="E26" s="1"/>
      <c r="F26" s="1"/>
      <c r="G26" s="1"/>
      <c r="H26" s="1"/>
    </row>
    <row r="27" spans="1:8" ht="15">
      <c r="A27" s="1"/>
      <c r="B27" s="1"/>
      <c r="C27" s="1"/>
      <c r="D27" s="1"/>
      <c r="E27" s="1"/>
      <c r="F27" s="1"/>
      <c r="G27" s="1"/>
      <c r="H27" s="1"/>
    </row>
    <row r="28" spans="1:8" ht="15">
      <c r="A28" s="1"/>
      <c r="B28" s="1"/>
      <c r="C28" s="1"/>
      <c r="D28" s="1"/>
      <c r="E28" s="1"/>
      <c r="F28" s="1"/>
      <c r="G28" s="1"/>
      <c r="H28" s="1"/>
    </row>
    <row r="29" spans="1:8" ht="15">
      <c r="A29" s="1"/>
      <c r="B29" s="1"/>
      <c r="C29" s="1"/>
      <c r="D29" s="1"/>
      <c r="E29" s="1"/>
      <c r="F29" s="1"/>
      <c r="G29" s="1"/>
      <c r="H29" s="1"/>
    </row>
    <row r="30" spans="1:8" ht="15">
      <c r="A30" s="1"/>
      <c r="B30" s="1"/>
      <c r="C30" s="1"/>
      <c r="D30" s="1"/>
      <c r="E30" s="1"/>
      <c r="F30" s="1"/>
      <c r="G30" s="1"/>
      <c r="H30" s="1"/>
    </row>
    <row r="31" spans="1:8" ht="15">
      <c r="A31" s="1"/>
      <c r="B31" s="1"/>
      <c r="C31" s="1"/>
      <c r="D31" s="1"/>
      <c r="E31" s="1"/>
      <c r="F31" s="1"/>
      <c r="G31" s="1"/>
      <c r="H31" s="1"/>
    </row>
  </sheetData>
  <sheetProtection/>
  <mergeCells count="11">
    <mergeCell ref="H5:H6"/>
    <mergeCell ref="A11:A17"/>
    <mergeCell ref="I5:I6"/>
    <mergeCell ref="J5:J6"/>
    <mergeCell ref="A4:J4"/>
    <mergeCell ref="A5:A6"/>
    <mergeCell ref="B5:B6"/>
    <mergeCell ref="C5:C6"/>
    <mergeCell ref="D5:E5"/>
    <mergeCell ref="F5:F6"/>
    <mergeCell ref="G5:G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L31"/>
  <sheetViews>
    <sheetView zoomScalePageLayoutView="0" workbookViewId="0" topLeftCell="A1">
      <pane xSplit="4" ySplit="10" topLeftCell="E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B5" sqref="B5:B6"/>
    </sheetView>
  </sheetViews>
  <sheetFormatPr defaultColWidth="9.140625" defaultRowHeight="15"/>
  <cols>
    <col min="1" max="1" width="5.00390625" style="0" customWidth="1"/>
    <col min="2" max="2" width="25.00390625" style="0" customWidth="1"/>
    <col min="3" max="3" width="18.140625" style="0" customWidth="1"/>
    <col min="4" max="4" width="15.57421875" style="0" customWidth="1"/>
    <col min="5" max="5" width="15.140625" style="0" customWidth="1"/>
    <col min="6" max="6" width="15.57421875" style="0" customWidth="1"/>
    <col min="7" max="7" width="16.7109375" style="0" customWidth="1"/>
    <col min="8" max="8" width="15.8515625" style="0" customWidth="1"/>
    <col min="9" max="9" width="12.421875" style="0" customWidth="1"/>
    <col min="10" max="10" width="13.8515625" style="0" customWidth="1"/>
    <col min="11" max="11" width="9.57421875" style="0" bestFit="1" customWidth="1"/>
  </cols>
  <sheetData>
    <row r="3" ht="15.75">
      <c r="C3" s="13" t="s">
        <v>37</v>
      </c>
    </row>
    <row r="4" spans="1:10" ht="15">
      <c r="A4" s="31" t="s">
        <v>8</v>
      </c>
      <c r="B4" s="31"/>
      <c r="C4" s="31"/>
      <c r="D4" s="31"/>
      <c r="E4" s="31"/>
      <c r="F4" s="31"/>
      <c r="G4" s="31"/>
      <c r="H4" s="31"/>
      <c r="I4" s="31"/>
      <c r="J4" s="31"/>
    </row>
    <row r="5" spans="1:10" ht="76.5" customHeight="1">
      <c r="A5" s="27" t="s">
        <v>0</v>
      </c>
      <c r="B5" s="29" t="s">
        <v>1</v>
      </c>
      <c r="C5" s="27" t="s">
        <v>2</v>
      </c>
      <c r="D5" s="32" t="s">
        <v>7</v>
      </c>
      <c r="E5" s="33"/>
      <c r="F5" s="27" t="s">
        <v>11</v>
      </c>
      <c r="G5" s="27" t="s">
        <v>3</v>
      </c>
      <c r="H5" s="27" t="s">
        <v>4</v>
      </c>
      <c r="I5" s="27" t="s">
        <v>5</v>
      </c>
      <c r="J5" s="29" t="s">
        <v>6</v>
      </c>
    </row>
    <row r="6" spans="1:10" ht="15.75">
      <c r="A6" s="28"/>
      <c r="B6" s="30"/>
      <c r="C6" s="28"/>
      <c r="D6" s="14" t="s">
        <v>16</v>
      </c>
      <c r="E6" s="15" t="s">
        <v>17</v>
      </c>
      <c r="F6" s="28"/>
      <c r="G6" s="28"/>
      <c r="H6" s="28"/>
      <c r="I6" s="28"/>
      <c r="J6" s="30"/>
    </row>
    <row r="7" spans="1:12" ht="15">
      <c r="A7" s="16">
        <v>1</v>
      </c>
      <c r="B7" s="17" t="s">
        <v>23</v>
      </c>
      <c r="C7" s="16"/>
      <c r="D7" s="18"/>
      <c r="E7" s="19"/>
      <c r="F7" s="20">
        <f>13.7+1.6</f>
        <v>15.299999999999999</v>
      </c>
      <c r="G7" s="20">
        <f>G8*0.0478</f>
        <v>8.4516136</v>
      </c>
      <c r="H7" s="20">
        <f>1.6</f>
        <v>1.6</v>
      </c>
      <c r="I7" s="5">
        <f>10.0372*0.0478</f>
        <v>0.47977816000000006</v>
      </c>
      <c r="J7" s="6">
        <f aca="true" t="shared" si="0" ref="J7:J19">I7/2645.8</f>
        <v>0.00018133576234031297</v>
      </c>
      <c r="L7" s="10"/>
    </row>
    <row r="8" spans="1:12" ht="15">
      <c r="A8" s="2">
        <v>2</v>
      </c>
      <c r="B8" s="3" t="s">
        <v>33</v>
      </c>
      <c r="C8" s="6"/>
      <c r="D8" s="4"/>
      <c r="E8" s="4"/>
      <c r="F8" s="6">
        <f>180.94+21.01</f>
        <v>201.95</v>
      </c>
      <c r="G8" s="5">
        <f>156.39+17.572+2.85</f>
        <v>176.81199999999998</v>
      </c>
      <c r="H8" s="5">
        <f>21.01</f>
        <v>21.01</v>
      </c>
      <c r="I8" s="5">
        <f>F8-G8-H8</f>
        <v>4.128000000000004</v>
      </c>
      <c r="J8" s="6">
        <f t="shared" si="0"/>
        <v>0.0015602086325497027</v>
      </c>
      <c r="L8" s="10"/>
    </row>
    <row r="9" spans="1:12" ht="15.75" customHeight="1">
      <c r="A9" s="2">
        <v>3</v>
      </c>
      <c r="B9" s="3" t="s">
        <v>34</v>
      </c>
      <c r="C9" s="5" t="s">
        <v>38</v>
      </c>
      <c r="D9" s="4"/>
      <c r="E9" s="4"/>
      <c r="F9" s="5">
        <f>407.892</f>
        <v>407.892</v>
      </c>
      <c r="G9" s="5">
        <f>184.3+47.896+2.39</f>
        <v>234.586</v>
      </c>
      <c r="H9" s="5">
        <f>23</f>
        <v>23</v>
      </c>
      <c r="I9" s="5">
        <f>10.0372</f>
        <v>10.0372</v>
      </c>
      <c r="J9" s="6">
        <f t="shared" si="0"/>
        <v>0.0037936351954040363</v>
      </c>
      <c r="L9" s="10"/>
    </row>
    <row r="10" spans="1:10" ht="15">
      <c r="A10" s="2">
        <v>4</v>
      </c>
      <c r="B10" s="3" t="s">
        <v>36</v>
      </c>
      <c r="C10" s="5"/>
      <c r="D10" s="4"/>
      <c r="E10" s="4"/>
      <c r="F10" s="5">
        <f>F8+F9</f>
        <v>609.842</v>
      </c>
      <c r="G10" s="5">
        <f>310.1+56.708+5.24+23+16.35</f>
        <v>411.398</v>
      </c>
      <c r="H10" s="5">
        <f>H8+H9</f>
        <v>44.010000000000005</v>
      </c>
      <c r="I10" s="5">
        <v>0</v>
      </c>
      <c r="J10" s="6">
        <f t="shared" si="0"/>
        <v>0</v>
      </c>
    </row>
    <row r="11" spans="1:10" ht="15">
      <c r="A11" s="24">
        <v>5</v>
      </c>
      <c r="B11" s="3" t="s">
        <v>12</v>
      </c>
      <c r="C11" s="5"/>
      <c r="D11" s="7">
        <v>8510</v>
      </c>
      <c r="E11" s="7">
        <v>8566</v>
      </c>
      <c r="F11" s="6">
        <f>(E11-D11)*6</f>
        <v>336</v>
      </c>
      <c r="G11" s="5">
        <v>0</v>
      </c>
      <c r="H11" s="5">
        <v>0</v>
      </c>
      <c r="I11" s="5">
        <f aca="true" t="shared" si="1" ref="I11:I16">F11-G11-H11</f>
        <v>336</v>
      </c>
      <c r="J11" s="6">
        <f t="shared" si="0"/>
        <v>0.12699372590520824</v>
      </c>
    </row>
    <row r="12" spans="1:10" ht="15">
      <c r="A12" s="25"/>
      <c r="B12" s="3" t="s">
        <v>14</v>
      </c>
      <c r="C12" s="5"/>
      <c r="D12" s="7">
        <v>4050</v>
      </c>
      <c r="E12" s="7">
        <v>4071</v>
      </c>
      <c r="F12" s="6">
        <f>(E12-D12)*6</f>
        <v>126</v>
      </c>
      <c r="G12" s="5">
        <v>0</v>
      </c>
      <c r="H12" s="5">
        <v>0</v>
      </c>
      <c r="I12" s="5">
        <f t="shared" si="1"/>
        <v>126</v>
      </c>
      <c r="J12" s="6">
        <f t="shared" si="0"/>
        <v>0.04762264721445309</v>
      </c>
    </row>
    <row r="13" spans="1:10" ht="15">
      <c r="A13" s="25"/>
      <c r="B13" s="3" t="s">
        <v>15</v>
      </c>
      <c r="C13" s="5"/>
      <c r="D13" s="7">
        <v>6370</v>
      </c>
      <c r="E13" s="7">
        <v>6393</v>
      </c>
      <c r="F13" s="6">
        <f>(E13-D13)*15</f>
        <v>345</v>
      </c>
      <c r="G13" s="5">
        <v>0</v>
      </c>
      <c r="H13" s="5">
        <v>0</v>
      </c>
      <c r="I13" s="5">
        <f t="shared" si="1"/>
        <v>345</v>
      </c>
      <c r="J13" s="6">
        <f t="shared" si="0"/>
        <v>0.13039534356338348</v>
      </c>
    </row>
    <row r="14" spans="1:10" ht="15">
      <c r="A14" s="25"/>
      <c r="B14" s="3" t="s">
        <v>13</v>
      </c>
      <c r="C14" s="5"/>
      <c r="D14" s="7">
        <v>8690</v>
      </c>
      <c r="E14" s="7">
        <v>8727</v>
      </c>
      <c r="F14" s="6">
        <f>(E14-D14)*15</f>
        <v>555</v>
      </c>
      <c r="G14" s="5">
        <v>0</v>
      </c>
      <c r="H14" s="5">
        <v>0</v>
      </c>
      <c r="I14" s="5">
        <f t="shared" si="1"/>
        <v>555</v>
      </c>
      <c r="J14" s="6">
        <f t="shared" si="0"/>
        <v>0.2097664222541386</v>
      </c>
    </row>
    <row r="15" spans="1:12" ht="15">
      <c r="A15" s="25"/>
      <c r="B15" s="3" t="s">
        <v>24</v>
      </c>
      <c r="C15" s="5"/>
      <c r="D15" s="7">
        <v>25910</v>
      </c>
      <c r="E15" s="7">
        <v>26000</v>
      </c>
      <c r="F15" s="6">
        <f>(E15-D15)*1</f>
        <v>90</v>
      </c>
      <c r="G15" s="5">
        <v>0</v>
      </c>
      <c r="H15" s="5">
        <v>0</v>
      </c>
      <c r="I15" s="5">
        <f t="shared" si="1"/>
        <v>90</v>
      </c>
      <c r="J15" s="6">
        <f t="shared" si="0"/>
        <v>0.03401617658175221</v>
      </c>
      <c r="L15" s="10"/>
    </row>
    <row r="16" spans="1:12" ht="15">
      <c r="A16" s="25"/>
      <c r="B16" s="3" t="s">
        <v>25</v>
      </c>
      <c r="C16" s="5"/>
      <c r="D16" s="7">
        <v>27590</v>
      </c>
      <c r="E16" s="7">
        <v>27823</v>
      </c>
      <c r="F16" s="6">
        <f>(E16-D16)*1</f>
        <v>233</v>
      </c>
      <c r="G16" s="5">
        <v>0</v>
      </c>
      <c r="H16" s="5">
        <v>0</v>
      </c>
      <c r="I16" s="5">
        <f t="shared" si="1"/>
        <v>233</v>
      </c>
      <c r="J16" s="6">
        <f t="shared" si="0"/>
        <v>0.08806410159498072</v>
      </c>
      <c r="K16" s="11"/>
      <c r="L16" s="10"/>
    </row>
    <row r="17" spans="1:10" ht="15">
      <c r="A17" s="26"/>
      <c r="B17" s="21" t="s">
        <v>18</v>
      </c>
      <c r="C17" s="21"/>
      <c r="D17" s="8"/>
      <c r="E17" s="21"/>
      <c r="F17" s="22">
        <f>SUM(F11:F16)</f>
        <v>1685</v>
      </c>
      <c r="G17" s="22">
        <f>SUM(G11:G16)</f>
        <v>0</v>
      </c>
      <c r="H17" s="22">
        <f>SUM(H11:H16)</f>
        <v>0</v>
      </c>
      <c r="I17" s="22">
        <f>SUM(I11:I16)</f>
        <v>1685</v>
      </c>
      <c r="J17" s="6">
        <f t="shared" si="0"/>
        <v>0.6368584171139163</v>
      </c>
    </row>
    <row r="18" spans="1:10" ht="15">
      <c r="A18" s="1"/>
      <c r="B18" s="1"/>
      <c r="C18" s="1"/>
      <c r="D18" s="1"/>
      <c r="E18" s="1" t="s">
        <v>19</v>
      </c>
      <c r="F18" s="23">
        <f aca="true" t="shared" si="2" ref="F18:I19">F11+F13+F15</f>
        <v>771</v>
      </c>
      <c r="G18" s="23">
        <f t="shared" si="2"/>
        <v>0</v>
      </c>
      <c r="H18" s="23">
        <f t="shared" si="2"/>
        <v>0</v>
      </c>
      <c r="I18" s="23">
        <f t="shared" si="2"/>
        <v>771</v>
      </c>
      <c r="J18" s="6">
        <f t="shared" si="0"/>
        <v>0.2914052460503439</v>
      </c>
    </row>
    <row r="19" spans="1:10" ht="15">
      <c r="A19" s="1"/>
      <c r="B19" s="1"/>
      <c r="C19" s="12"/>
      <c r="D19" s="1"/>
      <c r="E19" s="1" t="s">
        <v>20</v>
      </c>
      <c r="F19" s="9">
        <f t="shared" si="2"/>
        <v>914</v>
      </c>
      <c r="G19" s="9">
        <f t="shared" si="2"/>
        <v>0</v>
      </c>
      <c r="H19" s="9">
        <f t="shared" si="2"/>
        <v>0</v>
      </c>
      <c r="I19" s="9">
        <f t="shared" si="2"/>
        <v>914</v>
      </c>
      <c r="J19" s="6">
        <f t="shared" si="0"/>
        <v>0.34545317106357243</v>
      </c>
    </row>
    <row r="20" spans="1:8" ht="15">
      <c r="A20" s="1"/>
      <c r="B20" s="1"/>
      <c r="C20" s="1"/>
      <c r="D20" s="1"/>
      <c r="E20" s="1"/>
      <c r="F20" s="1"/>
      <c r="G20" s="1"/>
      <c r="H20" s="1"/>
    </row>
    <row r="21" spans="1:8" ht="15">
      <c r="A21" s="1"/>
      <c r="B21" s="1"/>
      <c r="C21" s="1"/>
      <c r="D21" s="1"/>
      <c r="E21" s="1"/>
      <c r="F21" s="1"/>
      <c r="G21" s="1"/>
      <c r="H21" s="1"/>
    </row>
    <row r="22" spans="1:8" ht="15">
      <c r="A22" s="1"/>
      <c r="B22" s="1"/>
      <c r="C22" s="1"/>
      <c r="D22" s="1"/>
      <c r="E22" s="1"/>
      <c r="F22" s="1"/>
      <c r="G22" s="1"/>
      <c r="H22" s="1"/>
    </row>
    <row r="23" spans="1:8" ht="15">
      <c r="A23" s="1"/>
      <c r="B23" s="1"/>
      <c r="C23" s="1"/>
      <c r="D23" s="1"/>
      <c r="E23" s="1"/>
      <c r="F23" s="1"/>
      <c r="G23" s="1"/>
      <c r="H23" s="1"/>
    </row>
    <row r="24" spans="1:8" ht="15">
      <c r="A24" s="1"/>
      <c r="B24" s="1"/>
      <c r="C24" s="1"/>
      <c r="D24" s="1"/>
      <c r="E24" s="1"/>
      <c r="F24" s="1"/>
      <c r="G24" s="1"/>
      <c r="H24" s="1"/>
    </row>
    <row r="25" spans="1:9" ht="15">
      <c r="A25" s="1"/>
      <c r="B25" s="1"/>
      <c r="C25" s="1"/>
      <c r="D25" s="1"/>
      <c r="E25" s="1"/>
      <c r="F25" s="1"/>
      <c r="G25" s="1"/>
      <c r="H25" s="1"/>
      <c r="I25" t="s">
        <v>21</v>
      </c>
    </row>
    <row r="26" spans="1:8" ht="15">
      <c r="A26" s="1"/>
      <c r="B26" s="1"/>
      <c r="C26" s="1"/>
      <c r="D26" s="1"/>
      <c r="E26" s="1"/>
      <c r="F26" s="1"/>
      <c r="G26" s="1"/>
      <c r="H26" s="1"/>
    </row>
    <row r="27" spans="1:8" ht="15">
      <c r="A27" s="1"/>
      <c r="B27" s="1"/>
      <c r="C27" s="1"/>
      <c r="D27" s="1"/>
      <c r="E27" s="1"/>
      <c r="F27" s="1"/>
      <c r="G27" s="1"/>
      <c r="H27" s="1"/>
    </row>
    <row r="28" spans="1:8" ht="15">
      <c r="A28" s="1"/>
      <c r="B28" s="1"/>
      <c r="C28" s="1"/>
      <c r="D28" s="1"/>
      <c r="E28" s="1"/>
      <c r="F28" s="1"/>
      <c r="G28" s="1"/>
      <c r="H28" s="1"/>
    </row>
    <row r="29" spans="1:8" ht="15">
      <c r="A29" s="1"/>
      <c r="B29" s="1"/>
      <c r="C29" s="1"/>
      <c r="D29" s="1"/>
      <c r="E29" s="1"/>
      <c r="F29" s="1"/>
      <c r="G29" s="1"/>
      <c r="H29" s="1"/>
    </row>
    <row r="30" spans="1:8" ht="15">
      <c r="A30" s="1"/>
      <c r="B30" s="1"/>
      <c r="C30" s="1"/>
      <c r="D30" s="1"/>
      <c r="E30" s="1"/>
      <c r="F30" s="1"/>
      <c r="G30" s="1"/>
      <c r="H30" s="1"/>
    </row>
    <row r="31" spans="1:8" ht="15">
      <c r="A31" s="1"/>
      <c r="B31" s="1"/>
      <c r="C31" s="1"/>
      <c r="D31" s="1"/>
      <c r="E31" s="1"/>
      <c r="F31" s="1"/>
      <c r="G31" s="1"/>
      <c r="H31" s="1"/>
    </row>
  </sheetData>
  <sheetProtection/>
  <mergeCells count="11">
    <mergeCell ref="A4:J4"/>
    <mergeCell ref="A5:A6"/>
    <mergeCell ref="B5:B6"/>
    <mergeCell ref="C5:C6"/>
    <mergeCell ref="D5:E5"/>
    <mergeCell ref="F5:F6"/>
    <mergeCell ref="G5:G6"/>
    <mergeCell ref="H5:H6"/>
    <mergeCell ref="A11:A17"/>
    <mergeCell ref="I5:I6"/>
    <mergeCell ref="J5:J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L31"/>
  <sheetViews>
    <sheetView zoomScalePageLayoutView="0" workbookViewId="0" topLeftCell="A1">
      <pane xSplit="4" ySplit="10" topLeftCell="E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C8" sqref="C8"/>
    </sheetView>
  </sheetViews>
  <sheetFormatPr defaultColWidth="9.140625" defaultRowHeight="15"/>
  <cols>
    <col min="1" max="1" width="5.00390625" style="0" customWidth="1"/>
    <col min="2" max="2" width="25.00390625" style="0" customWidth="1"/>
    <col min="3" max="3" width="18.140625" style="0" customWidth="1"/>
    <col min="4" max="4" width="15.57421875" style="0" customWidth="1"/>
    <col min="5" max="5" width="15.140625" style="0" customWidth="1"/>
    <col min="6" max="6" width="15.57421875" style="0" customWidth="1"/>
    <col min="7" max="7" width="16.7109375" style="0" customWidth="1"/>
    <col min="8" max="8" width="15.8515625" style="0" customWidth="1"/>
    <col min="9" max="9" width="12.421875" style="0" customWidth="1"/>
    <col min="10" max="10" width="13.8515625" style="0" customWidth="1"/>
    <col min="11" max="11" width="9.57421875" style="0" bestFit="1" customWidth="1"/>
  </cols>
  <sheetData>
    <row r="3" ht="15.75">
      <c r="C3" s="13" t="s">
        <v>39</v>
      </c>
    </row>
    <row r="4" spans="1:10" ht="15">
      <c r="A4" s="31" t="s">
        <v>8</v>
      </c>
      <c r="B4" s="31"/>
      <c r="C4" s="31"/>
      <c r="D4" s="31"/>
      <c r="E4" s="31"/>
      <c r="F4" s="31"/>
      <c r="G4" s="31"/>
      <c r="H4" s="31"/>
      <c r="I4" s="31"/>
      <c r="J4" s="31"/>
    </row>
    <row r="5" spans="1:10" ht="76.5" customHeight="1">
      <c r="A5" s="27" t="s">
        <v>0</v>
      </c>
      <c r="B5" s="29" t="s">
        <v>1</v>
      </c>
      <c r="C5" s="27" t="s">
        <v>2</v>
      </c>
      <c r="D5" s="32" t="s">
        <v>7</v>
      </c>
      <c r="E5" s="33"/>
      <c r="F5" s="27" t="s">
        <v>11</v>
      </c>
      <c r="G5" s="27" t="s">
        <v>3</v>
      </c>
      <c r="H5" s="27" t="s">
        <v>4</v>
      </c>
      <c r="I5" s="27" t="s">
        <v>5</v>
      </c>
      <c r="J5" s="29" t="s">
        <v>6</v>
      </c>
    </row>
    <row r="6" spans="1:10" ht="15.75">
      <c r="A6" s="28"/>
      <c r="B6" s="30"/>
      <c r="C6" s="28"/>
      <c r="D6" s="14" t="s">
        <v>16</v>
      </c>
      <c r="E6" s="15" t="s">
        <v>17</v>
      </c>
      <c r="F6" s="28"/>
      <c r="G6" s="28"/>
      <c r="H6" s="28"/>
      <c r="I6" s="28"/>
      <c r="J6" s="30"/>
    </row>
    <row r="7" spans="1:12" ht="15">
      <c r="A7" s="16">
        <v>1</v>
      </c>
      <c r="B7" s="17" t="s">
        <v>23</v>
      </c>
      <c r="C7" s="16"/>
      <c r="D7" s="18"/>
      <c r="E7" s="19"/>
      <c r="F7" s="20">
        <f>16.68+1.8</f>
        <v>18.48</v>
      </c>
      <c r="G7" s="20">
        <f>G8*0.0478</f>
        <v>11.6870044</v>
      </c>
      <c r="H7" s="20">
        <f>1.8</f>
        <v>1.8</v>
      </c>
      <c r="I7" s="5">
        <f>I8*0.0478</f>
        <v>0.47977816000000006</v>
      </c>
      <c r="J7" s="6">
        <f aca="true" t="shared" si="0" ref="J7:J19">I7/2645.8</f>
        <v>0.00018133576234031297</v>
      </c>
      <c r="L7" s="10"/>
    </row>
    <row r="8" spans="1:12" ht="15">
      <c r="A8" s="2">
        <v>2</v>
      </c>
      <c r="B8" s="3" t="s">
        <v>33</v>
      </c>
      <c r="C8" s="6"/>
      <c r="D8" s="4"/>
      <c r="E8" s="4"/>
      <c r="F8" s="6">
        <f>348.99+38.16</f>
        <v>387.15</v>
      </c>
      <c r="G8" s="5">
        <f>160.4+81.428+2.67</f>
        <v>244.498</v>
      </c>
      <c r="H8" s="5">
        <f>38.16</f>
        <v>38.16</v>
      </c>
      <c r="I8" s="5">
        <v>10.0372</v>
      </c>
      <c r="J8" s="6">
        <f t="shared" si="0"/>
        <v>0.0037936351954040363</v>
      </c>
      <c r="L8" s="10"/>
    </row>
    <row r="9" spans="1:12" ht="15.75" customHeight="1">
      <c r="A9" s="2">
        <v>3</v>
      </c>
      <c r="B9" s="3" t="s">
        <v>34</v>
      </c>
      <c r="C9" s="5" t="s">
        <v>40</v>
      </c>
      <c r="D9" s="4"/>
      <c r="E9" s="4"/>
      <c r="F9" s="5">
        <f>334.059</f>
        <v>334.059</v>
      </c>
      <c r="G9" s="5">
        <f>189.15+99.384+2.45</f>
        <v>290.984</v>
      </c>
      <c r="H9" s="5">
        <v>16</v>
      </c>
      <c r="I9" s="5">
        <v>10.0372</v>
      </c>
      <c r="J9" s="6">
        <f t="shared" si="0"/>
        <v>0.0037936351954040363</v>
      </c>
      <c r="L9" s="10"/>
    </row>
    <row r="10" spans="1:10" ht="15">
      <c r="A10" s="2">
        <v>4</v>
      </c>
      <c r="B10" s="3" t="s">
        <v>36</v>
      </c>
      <c r="C10" s="5"/>
      <c r="D10" s="4"/>
      <c r="E10" s="4"/>
      <c r="F10" s="5">
        <f>F8+F9</f>
        <v>721.2090000000001</v>
      </c>
      <c r="G10" s="5">
        <f>318.96+170.782+5.12+23.19+17.43</f>
        <v>535.482</v>
      </c>
      <c r="H10" s="5">
        <f>H8+H9</f>
        <v>54.16</v>
      </c>
      <c r="I10" s="5">
        <v>0</v>
      </c>
      <c r="J10" s="6">
        <f t="shared" si="0"/>
        <v>0</v>
      </c>
    </row>
    <row r="11" spans="1:10" ht="15">
      <c r="A11" s="24">
        <v>5</v>
      </c>
      <c r="B11" s="3" t="s">
        <v>12</v>
      </c>
      <c r="C11" s="5"/>
      <c r="D11" s="7">
        <v>8566</v>
      </c>
      <c r="E11" s="7">
        <v>8624</v>
      </c>
      <c r="F11" s="6">
        <f>(E11-D11)*6</f>
        <v>348</v>
      </c>
      <c r="G11" s="5">
        <v>0</v>
      </c>
      <c r="H11" s="5">
        <v>0</v>
      </c>
      <c r="I11" s="5">
        <f aca="true" t="shared" si="1" ref="I11:I16">F11-G11-H11</f>
        <v>348</v>
      </c>
      <c r="J11" s="6">
        <f t="shared" si="0"/>
        <v>0.13152921611610854</v>
      </c>
    </row>
    <row r="12" spans="1:10" ht="15">
      <c r="A12" s="25"/>
      <c r="B12" s="3" t="s">
        <v>14</v>
      </c>
      <c r="C12" s="5"/>
      <c r="D12" s="7">
        <v>4071</v>
      </c>
      <c r="E12" s="7">
        <v>4093</v>
      </c>
      <c r="F12" s="6">
        <f>(E12-D12)*6</f>
        <v>132</v>
      </c>
      <c r="G12" s="5">
        <v>0</v>
      </c>
      <c r="H12" s="5">
        <v>0</v>
      </c>
      <c r="I12" s="5">
        <f t="shared" si="1"/>
        <v>132</v>
      </c>
      <c r="J12" s="6">
        <f t="shared" si="0"/>
        <v>0.04989039231990324</v>
      </c>
    </row>
    <row r="13" spans="1:10" ht="15">
      <c r="A13" s="25"/>
      <c r="B13" s="3" t="s">
        <v>15</v>
      </c>
      <c r="C13" s="5"/>
      <c r="D13" s="7">
        <v>6393</v>
      </c>
      <c r="E13" s="7">
        <v>6418</v>
      </c>
      <c r="F13" s="6">
        <f>(E13-D13)*15</f>
        <v>375</v>
      </c>
      <c r="G13" s="5">
        <v>0</v>
      </c>
      <c r="H13" s="5">
        <v>0</v>
      </c>
      <c r="I13" s="5">
        <f t="shared" si="1"/>
        <v>375</v>
      </c>
      <c r="J13" s="6">
        <f t="shared" si="0"/>
        <v>0.1417340690906342</v>
      </c>
    </row>
    <row r="14" spans="1:10" ht="15">
      <c r="A14" s="25"/>
      <c r="B14" s="3" t="s">
        <v>13</v>
      </c>
      <c r="C14" s="5"/>
      <c r="D14" s="7">
        <v>8727</v>
      </c>
      <c r="E14" s="7">
        <v>8764</v>
      </c>
      <c r="F14" s="6">
        <f>(E14-D14)*15</f>
        <v>555</v>
      </c>
      <c r="G14" s="5">
        <v>0</v>
      </c>
      <c r="H14" s="5">
        <v>0</v>
      </c>
      <c r="I14" s="5">
        <f t="shared" si="1"/>
        <v>555</v>
      </c>
      <c r="J14" s="6">
        <f t="shared" si="0"/>
        <v>0.2097664222541386</v>
      </c>
    </row>
    <row r="15" spans="1:12" ht="15">
      <c r="A15" s="25"/>
      <c r="B15" s="3" t="s">
        <v>24</v>
      </c>
      <c r="C15" s="5"/>
      <c r="D15" s="7">
        <v>26000</v>
      </c>
      <c r="E15" s="7">
        <v>26138</v>
      </c>
      <c r="F15" s="6">
        <f>(E15-D15)*1</f>
        <v>138</v>
      </c>
      <c r="G15" s="5">
        <v>0</v>
      </c>
      <c r="H15" s="5">
        <v>0</v>
      </c>
      <c r="I15" s="5">
        <f t="shared" si="1"/>
        <v>138</v>
      </c>
      <c r="J15" s="6">
        <f t="shared" si="0"/>
        <v>0.052158137425353385</v>
      </c>
      <c r="L15" s="10"/>
    </row>
    <row r="16" spans="1:12" ht="15">
      <c r="A16" s="25"/>
      <c r="B16" s="3" t="s">
        <v>25</v>
      </c>
      <c r="C16" s="5"/>
      <c r="D16" s="7">
        <v>27823</v>
      </c>
      <c r="E16" s="7">
        <v>27971</v>
      </c>
      <c r="F16" s="6">
        <f>(E16-D16)*1</f>
        <v>148</v>
      </c>
      <c r="G16" s="5">
        <v>0</v>
      </c>
      <c r="H16" s="5">
        <v>0</v>
      </c>
      <c r="I16" s="5">
        <f t="shared" si="1"/>
        <v>148</v>
      </c>
      <c r="J16" s="6">
        <f t="shared" si="0"/>
        <v>0.05593771260110363</v>
      </c>
      <c r="K16" s="11"/>
      <c r="L16" s="10"/>
    </row>
    <row r="17" spans="1:10" ht="15">
      <c r="A17" s="26"/>
      <c r="B17" s="21" t="s">
        <v>18</v>
      </c>
      <c r="C17" s="21"/>
      <c r="D17" s="8"/>
      <c r="E17" s="21"/>
      <c r="F17" s="22">
        <f>SUM(F11:F16)</f>
        <v>1696</v>
      </c>
      <c r="G17" s="22">
        <f>SUM(G11:G16)</f>
        <v>0</v>
      </c>
      <c r="H17" s="22">
        <f>SUM(H11:H16)</f>
        <v>0</v>
      </c>
      <c r="I17" s="22">
        <f>SUM(I11:I16)</f>
        <v>1696</v>
      </c>
      <c r="J17" s="6">
        <f t="shared" si="0"/>
        <v>0.6410159498072416</v>
      </c>
    </row>
    <row r="18" spans="1:10" ht="15">
      <c r="A18" s="1"/>
      <c r="B18" s="1"/>
      <c r="C18" s="1"/>
      <c r="D18" s="1"/>
      <c r="E18" s="1" t="s">
        <v>19</v>
      </c>
      <c r="F18" s="23">
        <f aca="true" t="shared" si="2" ref="F18:I19">F11+F13+F15</f>
        <v>861</v>
      </c>
      <c r="G18" s="23">
        <f t="shared" si="2"/>
        <v>0</v>
      </c>
      <c r="H18" s="23">
        <f t="shared" si="2"/>
        <v>0</v>
      </c>
      <c r="I18" s="23">
        <f t="shared" si="2"/>
        <v>861</v>
      </c>
      <c r="J18" s="6">
        <f t="shared" si="0"/>
        <v>0.3254214226320961</v>
      </c>
    </row>
    <row r="19" spans="1:10" ht="15">
      <c r="A19" s="1"/>
      <c r="B19" s="1"/>
      <c r="C19" s="12"/>
      <c r="D19" s="1"/>
      <c r="E19" s="1" t="s">
        <v>20</v>
      </c>
      <c r="F19" s="9">
        <f t="shared" si="2"/>
        <v>835</v>
      </c>
      <c r="G19" s="9">
        <f t="shared" si="2"/>
        <v>0</v>
      </c>
      <c r="H19" s="9">
        <f t="shared" si="2"/>
        <v>0</v>
      </c>
      <c r="I19" s="9">
        <f t="shared" si="2"/>
        <v>835</v>
      </c>
      <c r="J19" s="6">
        <f t="shared" si="0"/>
        <v>0.31559452717514547</v>
      </c>
    </row>
    <row r="20" spans="1:8" ht="15">
      <c r="A20" s="1"/>
      <c r="B20" s="1"/>
      <c r="C20" s="1"/>
      <c r="D20" s="1"/>
      <c r="E20" s="1"/>
      <c r="F20" s="1"/>
      <c r="G20" s="1"/>
      <c r="H20" s="1"/>
    </row>
    <row r="21" spans="1:8" ht="15">
      <c r="A21" s="1"/>
      <c r="B21" s="1"/>
      <c r="C21" s="1"/>
      <c r="D21" s="1"/>
      <c r="E21" s="1"/>
      <c r="F21" s="1"/>
      <c r="G21" s="1"/>
      <c r="H21" s="1"/>
    </row>
    <row r="22" spans="1:8" ht="15">
      <c r="A22" s="1"/>
      <c r="B22" s="1"/>
      <c r="C22" s="1"/>
      <c r="D22" s="1"/>
      <c r="E22" s="1"/>
      <c r="F22" s="1"/>
      <c r="G22" s="1"/>
      <c r="H22" s="1"/>
    </row>
    <row r="23" spans="1:8" ht="15">
      <c r="A23" s="1"/>
      <c r="B23" s="1"/>
      <c r="C23" s="1"/>
      <c r="D23" s="1"/>
      <c r="E23" s="1"/>
      <c r="F23" s="1"/>
      <c r="G23" s="1"/>
      <c r="H23" s="1"/>
    </row>
    <row r="24" spans="1:8" ht="15">
      <c r="A24" s="1"/>
      <c r="B24" s="1"/>
      <c r="C24" s="1"/>
      <c r="D24" s="1"/>
      <c r="E24" s="1"/>
      <c r="F24" s="1"/>
      <c r="G24" s="1"/>
      <c r="H24" s="1"/>
    </row>
    <row r="25" spans="1:9" ht="15">
      <c r="A25" s="1"/>
      <c r="B25" s="1"/>
      <c r="C25" s="1"/>
      <c r="D25" s="1"/>
      <c r="E25" s="1"/>
      <c r="F25" s="1"/>
      <c r="G25" s="1"/>
      <c r="H25" s="1"/>
      <c r="I25" t="s">
        <v>21</v>
      </c>
    </row>
    <row r="26" spans="1:8" ht="15">
      <c r="A26" s="1"/>
      <c r="B26" s="1"/>
      <c r="C26" s="1"/>
      <c r="D26" s="1"/>
      <c r="E26" s="1"/>
      <c r="F26" s="1"/>
      <c r="G26" s="1"/>
      <c r="H26" s="1"/>
    </row>
    <row r="27" spans="1:8" ht="15">
      <c r="A27" s="1"/>
      <c r="B27" s="1"/>
      <c r="C27" s="1"/>
      <c r="D27" s="1"/>
      <c r="E27" s="1"/>
      <c r="F27" s="1"/>
      <c r="G27" s="1"/>
      <c r="H27" s="1"/>
    </row>
    <row r="28" spans="1:8" ht="15">
      <c r="A28" s="1"/>
      <c r="B28" s="1"/>
      <c r="C28" s="1"/>
      <c r="D28" s="1"/>
      <c r="E28" s="1"/>
      <c r="F28" s="1"/>
      <c r="G28" s="1"/>
      <c r="H28" s="1"/>
    </row>
    <row r="29" spans="1:8" ht="15">
      <c r="A29" s="1"/>
      <c r="B29" s="1"/>
      <c r="C29" s="1"/>
      <c r="D29" s="1"/>
      <c r="E29" s="1"/>
      <c r="F29" s="1"/>
      <c r="G29" s="1"/>
      <c r="H29" s="1"/>
    </row>
    <row r="30" spans="1:8" ht="15">
      <c r="A30" s="1"/>
      <c r="B30" s="1"/>
      <c r="C30" s="1"/>
      <c r="D30" s="1"/>
      <c r="E30" s="1"/>
      <c r="F30" s="1"/>
      <c r="G30" s="1"/>
      <c r="H30" s="1"/>
    </row>
    <row r="31" spans="1:8" ht="15">
      <c r="A31" s="1"/>
      <c r="B31" s="1"/>
      <c r="C31" s="1"/>
      <c r="D31" s="1"/>
      <c r="E31" s="1"/>
      <c r="F31" s="1"/>
      <c r="G31" s="1"/>
      <c r="H31" s="1"/>
    </row>
  </sheetData>
  <sheetProtection/>
  <mergeCells count="11">
    <mergeCell ref="A11:A17"/>
    <mergeCell ref="I5:I6"/>
    <mergeCell ref="J5:J6"/>
    <mergeCell ref="A4:J4"/>
    <mergeCell ref="A5:A6"/>
    <mergeCell ref="B5:B6"/>
    <mergeCell ref="C5:C6"/>
    <mergeCell ref="D5:E5"/>
    <mergeCell ref="F5:F6"/>
    <mergeCell ref="G5:G6"/>
    <mergeCell ref="H5:H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L31"/>
  <sheetViews>
    <sheetView zoomScalePageLayoutView="0" workbookViewId="0" topLeftCell="A1">
      <pane xSplit="4" ySplit="10" topLeftCell="E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D6" sqref="D6"/>
    </sheetView>
  </sheetViews>
  <sheetFormatPr defaultColWidth="9.140625" defaultRowHeight="15"/>
  <cols>
    <col min="1" max="1" width="5.00390625" style="0" customWidth="1"/>
    <col min="2" max="2" width="25.00390625" style="0" customWidth="1"/>
    <col min="3" max="3" width="18.140625" style="0" customWidth="1"/>
    <col min="4" max="4" width="15.57421875" style="0" customWidth="1"/>
    <col min="5" max="5" width="15.140625" style="0" customWidth="1"/>
    <col min="6" max="6" width="15.57421875" style="0" customWidth="1"/>
    <col min="7" max="7" width="16.7109375" style="0" customWidth="1"/>
    <col min="8" max="8" width="15.8515625" style="0" customWidth="1"/>
    <col min="9" max="9" width="12.421875" style="0" customWidth="1"/>
    <col min="10" max="10" width="13.8515625" style="0" customWidth="1"/>
    <col min="11" max="11" width="9.57421875" style="0" bestFit="1" customWidth="1"/>
  </cols>
  <sheetData>
    <row r="3" ht="15.75">
      <c r="C3" s="13" t="s">
        <v>41</v>
      </c>
    </row>
    <row r="4" spans="1:10" ht="15">
      <c r="A4" s="31" t="s">
        <v>8</v>
      </c>
      <c r="B4" s="31"/>
      <c r="C4" s="31"/>
      <c r="D4" s="31"/>
      <c r="E4" s="31"/>
      <c r="F4" s="31"/>
      <c r="G4" s="31"/>
      <c r="H4" s="31"/>
      <c r="I4" s="31"/>
      <c r="J4" s="31"/>
    </row>
    <row r="5" spans="1:10" ht="76.5" customHeight="1">
      <c r="A5" s="27" t="s">
        <v>0</v>
      </c>
      <c r="B5" s="29" t="s">
        <v>1</v>
      </c>
      <c r="C5" s="27" t="s">
        <v>2</v>
      </c>
      <c r="D5" s="32" t="s">
        <v>7</v>
      </c>
      <c r="E5" s="33"/>
      <c r="F5" s="27" t="s">
        <v>11</v>
      </c>
      <c r="G5" s="27" t="s">
        <v>3</v>
      </c>
      <c r="H5" s="27" t="s">
        <v>4</v>
      </c>
      <c r="I5" s="27" t="s">
        <v>5</v>
      </c>
      <c r="J5" s="29" t="s">
        <v>6</v>
      </c>
    </row>
    <row r="6" spans="1:10" ht="15.75">
      <c r="A6" s="28"/>
      <c r="B6" s="30"/>
      <c r="C6" s="28"/>
      <c r="D6" s="14" t="s">
        <v>16</v>
      </c>
      <c r="E6" s="15" t="s">
        <v>17</v>
      </c>
      <c r="F6" s="28"/>
      <c r="G6" s="28"/>
      <c r="H6" s="28"/>
      <c r="I6" s="28"/>
      <c r="J6" s="30"/>
    </row>
    <row r="7" spans="1:12" ht="15">
      <c r="A7" s="16">
        <v>1</v>
      </c>
      <c r="B7" s="17" t="s">
        <v>23</v>
      </c>
      <c r="C7" s="16"/>
      <c r="D7" s="18"/>
      <c r="E7" s="19"/>
      <c r="F7" s="20">
        <f>16.68+1.84</f>
        <v>18.52</v>
      </c>
      <c r="G7" s="20">
        <f>G8*0.0478</f>
        <v>11.937572</v>
      </c>
      <c r="H7" s="20">
        <f>1.84</f>
        <v>1.84</v>
      </c>
      <c r="I7" s="5">
        <f>I8*0.0478</f>
        <v>0.47977816000000006</v>
      </c>
      <c r="J7" s="6">
        <f aca="true" t="shared" si="0" ref="J7:J19">I7/2645.8</f>
        <v>0.00018133576234031297</v>
      </c>
      <c r="L7" s="10"/>
    </row>
    <row r="8" spans="1:12" ht="15">
      <c r="A8" s="2">
        <v>2</v>
      </c>
      <c r="B8" s="3" t="s">
        <v>33</v>
      </c>
      <c r="C8" s="6"/>
      <c r="D8" s="4"/>
      <c r="E8" s="4"/>
      <c r="F8" s="6">
        <f>348.99+39.43</f>
        <v>388.42</v>
      </c>
      <c r="G8" s="5">
        <f>160.4+86.74+2.6</f>
        <v>249.73999999999998</v>
      </c>
      <c r="H8" s="5">
        <f>39.43</f>
        <v>39.43</v>
      </c>
      <c r="I8" s="5">
        <f>10.0372</f>
        <v>10.0372</v>
      </c>
      <c r="J8" s="6">
        <f t="shared" si="0"/>
        <v>0.0037936351954040363</v>
      </c>
      <c r="L8" s="10"/>
    </row>
    <row r="9" spans="1:12" ht="15.75" customHeight="1">
      <c r="A9" s="2">
        <v>3</v>
      </c>
      <c r="B9" s="3" t="s">
        <v>34</v>
      </c>
      <c r="C9" s="5" t="s">
        <v>42</v>
      </c>
      <c r="D9" s="4"/>
      <c r="E9" s="4"/>
      <c r="F9" s="5">
        <f>346.235</f>
        <v>346.235</v>
      </c>
      <c r="G9" s="5">
        <f>189.15+105.97+2.61</f>
        <v>297.73</v>
      </c>
      <c r="H9" s="5">
        <f>19</f>
        <v>19</v>
      </c>
      <c r="I9" s="5">
        <f>10.0372</f>
        <v>10.0372</v>
      </c>
      <c r="J9" s="6">
        <f t="shared" si="0"/>
        <v>0.0037936351954040363</v>
      </c>
      <c r="L9" s="10"/>
    </row>
    <row r="10" spans="1:10" ht="15">
      <c r="A10" s="2">
        <v>4</v>
      </c>
      <c r="B10" s="3" t="s">
        <v>36</v>
      </c>
      <c r="C10" s="5"/>
      <c r="D10" s="4"/>
      <c r="E10" s="4"/>
      <c r="F10" s="5">
        <f>F8+F9</f>
        <v>734.655</v>
      </c>
      <c r="G10" s="5">
        <f>318.96+186.53+5.21+20.88+15.89</f>
        <v>547.47</v>
      </c>
      <c r="H10" s="5">
        <f>H8+H9</f>
        <v>58.43</v>
      </c>
      <c r="I10" s="5">
        <v>0</v>
      </c>
      <c r="J10" s="6">
        <f t="shared" si="0"/>
        <v>0</v>
      </c>
    </row>
    <row r="11" spans="1:10" ht="15">
      <c r="A11" s="24">
        <v>5</v>
      </c>
      <c r="B11" s="3" t="s">
        <v>12</v>
      </c>
      <c r="C11" s="5"/>
      <c r="D11" s="7">
        <v>8624</v>
      </c>
      <c r="E11" s="7">
        <v>8694</v>
      </c>
      <c r="F11" s="6">
        <f>(E11-D11)*6</f>
        <v>420</v>
      </c>
      <c r="G11" s="5">
        <v>0</v>
      </c>
      <c r="H11" s="5">
        <v>0</v>
      </c>
      <c r="I11" s="5">
        <f aca="true" t="shared" si="1" ref="I11:I16">F11-G11-H11</f>
        <v>420</v>
      </c>
      <c r="J11" s="6">
        <f t="shared" si="0"/>
        <v>0.15874215738151032</v>
      </c>
    </row>
    <row r="12" spans="1:10" ht="15">
      <c r="A12" s="25"/>
      <c r="B12" s="3" t="s">
        <v>14</v>
      </c>
      <c r="C12" s="5"/>
      <c r="D12" s="7">
        <v>4093</v>
      </c>
      <c r="E12" s="7">
        <v>4121</v>
      </c>
      <c r="F12" s="6">
        <f>(E12-D12)*6</f>
        <v>168</v>
      </c>
      <c r="G12" s="5">
        <v>0</v>
      </c>
      <c r="H12" s="5">
        <v>0</v>
      </c>
      <c r="I12" s="5">
        <f t="shared" si="1"/>
        <v>168</v>
      </c>
      <c r="J12" s="6">
        <f t="shared" si="0"/>
        <v>0.06349686295260412</v>
      </c>
    </row>
    <row r="13" spans="1:10" ht="15">
      <c r="A13" s="25"/>
      <c r="B13" s="3" t="s">
        <v>15</v>
      </c>
      <c r="C13" s="5"/>
      <c r="D13" s="7">
        <v>6418</v>
      </c>
      <c r="E13" s="7">
        <v>6440</v>
      </c>
      <c r="F13" s="6">
        <f>(E13-D13)*15</f>
        <v>330</v>
      </c>
      <c r="G13" s="5">
        <v>0</v>
      </c>
      <c r="H13" s="5">
        <v>0</v>
      </c>
      <c r="I13" s="5">
        <f t="shared" si="1"/>
        <v>330</v>
      </c>
      <c r="J13" s="6">
        <f t="shared" si="0"/>
        <v>0.1247259807997581</v>
      </c>
    </row>
    <row r="14" spans="1:10" ht="15">
      <c r="A14" s="25"/>
      <c r="B14" s="3" t="s">
        <v>13</v>
      </c>
      <c r="C14" s="5"/>
      <c r="D14" s="7">
        <v>8764</v>
      </c>
      <c r="E14" s="7">
        <v>8800</v>
      </c>
      <c r="F14" s="6">
        <f>(E14-D14)*15</f>
        <v>540</v>
      </c>
      <c r="G14" s="5">
        <v>0</v>
      </c>
      <c r="H14" s="5">
        <v>0</v>
      </c>
      <c r="I14" s="5">
        <f t="shared" si="1"/>
        <v>540</v>
      </c>
      <c r="J14" s="6">
        <f t="shared" si="0"/>
        <v>0.20409705949051324</v>
      </c>
    </row>
    <row r="15" spans="1:12" ht="15">
      <c r="A15" s="25"/>
      <c r="B15" s="3" t="s">
        <v>24</v>
      </c>
      <c r="C15" s="5"/>
      <c r="D15" s="7">
        <v>26138</v>
      </c>
      <c r="E15" s="7">
        <v>26264</v>
      </c>
      <c r="F15" s="6">
        <f>(E15-D15)*1</f>
        <v>126</v>
      </c>
      <c r="G15" s="5">
        <v>0</v>
      </c>
      <c r="H15" s="5">
        <v>0</v>
      </c>
      <c r="I15" s="5">
        <f t="shared" si="1"/>
        <v>126</v>
      </c>
      <c r="J15" s="6">
        <f t="shared" si="0"/>
        <v>0.04762264721445309</v>
      </c>
      <c r="L15" s="10"/>
    </row>
    <row r="16" spans="1:12" ht="15">
      <c r="A16" s="25"/>
      <c r="B16" s="3" t="s">
        <v>25</v>
      </c>
      <c r="C16" s="5"/>
      <c r="D16" s="7">
        <v>27971</v>
      </c>
      <c r="E16" s="7">
        <v>28109</v>
      </c>
      <c r="F16" s="6">
        <f>(E16-D16)*1</f>
        <v>138</v>
      </c>
      <c r="G16" s="5">
        <v>0</v>
      </c>
      <c r="H16" s="5">
        <v>0</v>
      </c>
      <c r="I16" s="5">
        <f t="shared" si="1"/>
        <v>138</v>
      </c>
      <c r="J16" s="6">
        <f t="shared" si="0"/>
        <v>0.052158137425353385</v>
      </c>
      <c r="K16" s="11"/>
      <c r="L16" s="10"/>
    </row>
    <row r="17" spans="1:10" ht="15">
      <c r="A17" s="26"/>
      <c r="B17" s="21" t="s">
        <v>18</v>
      </c>
      <c r="C17" s="21"/>
      <c r="D17" s="8"/>
      <c r="E17" s="21"/>
      <c r="F17" s="22">
        <f>SUM(F11:F16)</f>
        <v>1722</v>
      </c>
      <c r="G17" s="22">
        <f>SUM(G11:G16)</f>
        <v>0</v>
      </c>
      <c r="H17" s="22">
        <f>SUM(H11:H16)</f>
        <v>0</v>
      </c>
      <c r="I17" s="22">
        <f>SUM(I11:I16)</f>
        <v>1722</v>
      </c>
      <c r="J17" s="6">
        <f t="shared" si="0"/>
        <v>0.6508428452641922</v>
      </c>
    </row>
    <row r="18" spans="1:10" ht="15">
      <c r="A18" s="1"/>
      <c r="B18" s="1"/>
      <c r="C18" s="1"/>
      <c r="D18" s="1"/>
      <c r="E18" s="1" t="s">
        <v>19</v>
      </c>
      <c r="F18" s="23">
        <f aca="true" t="shared" si="2" ref="F18:I19">F11+F13+F15</f>
        <v>876</v>
      </c>
      <c r="G18" s="23">
        <f t="shared" si="2"/>
        <v>0</v>
      </c>
      <c r="H18" s="23">
        <f t="shared" si="2"/>
        <v>0</v>
      </c>
      <c r="I18" s="23">
        <f t="shared" si="2"/>
        <v>876</v>
      </c>
      <c r="J18" s="6">
        <f t="shared" si="0"/>
        <v>0.3310907853957215</v>
      </c>
    </row>
    <row r="19" spans="1:10" ht="15">
      <c r="A19" s="1"/>
      <c r="B19" s="1"/>
      <c r="C19" s="12"/>
      <c r="D19" s="1"/>
      <c r="E19" s="1" t="s">
        <v>20</v>
      </c>
      <c r="F19" s="9">
        <f t="shared" si="2"/>
        <v>846</v>
      </c>
      <c r="G19" s="9">
        <f t="shared" si="2"/>
        <v>0</v>
      </c>
      <c r="H19" s="9">
        <f t="shared" si="2"/>
        <v>0</v>
      </c>
      <c r="I19" s="9">
        <f t="shared" si="2"/>
        <v>846</v>
      </c>
      <c r="J19" s="6">
        <f t="shared" si="0"/>
        <v>0.3197520598684708</v>
      </c>
    </row>
    <row r="20" spans="1:8" ht="15">
      <c r="A20" s="1"/>
      <c r="B20" s="1"/>
      <c r="C20" s="1"/>
      <c r="D20" s="1"/>
      <c r="E20" s="1"/>
      <c r="F20" s="1"/>
      <c r="G20" s="1"/>
      <c r="H20" s="1"/>
    </row>
    <row r="21" spans="1:8" ht="15">
      <c r="A21" s="1"/>
      <c r="B21" s="1"/>
      <c r="C21" s="1"/>
      <c r="D21" s="1"/>
      <c r="E21" s="1"/>
      <c r="F21" s="1"/>
      <c r="G21" s="1"/>
      <c r="H21" s="1"/>
    </row>
    <row r="22" spans="1:8" ht="15">
      <c r="A22" s="1"/>
      <c r="B22" s="1"/>
      <c r="C22" s="1"/>
      <c r="D22" s="1"/>
      <c r="E22" s="1"/>
      <c r="F22" s="1"/>
      <c r="G22" s="1"/>
      <c r="H22" s="1"/>
    </row>
    <row r="23" spans="1:8" ht="15">
      <c r="A23" s="1"/>
      <c r="B23" s="1"/>
      <c r="C23" s="1"/>
      <c r="D23" s="1"/>
      <c r="E23" s="1"/>
      <c r="F23" s="1"/>
      <c r="G23" s="1"/>
      <c r="H23" s="1"/>
    </row>
    <row r="24" spans="1:8" ht="15">
      <c r="A24" s="1"/>
      <c r="B24" s="1"/>
      <c r="C24" s="1"/>
      <c r="D24" s="1"/>
      <c r="E24" s="1"/>
      <c r="F24" s="1"/>
      <c r="G24" s="1"/>
      <c r="H24" s="1"/>
    </row>
    <row r="25" spans="1:9" ht="15">
      <c r="A25" s="1"/>
      <c r="B25" s="1"/>
      <c r="C25" s="1"/>
      <c r="D25" s="1"/>
      <c r="E25" s="1"/>
      <c r="F25" s="1"/>
      <c r="G25" s="1"/>
      <c r="H25" s="1"/>
      <c r="I25" t="s">
        <v>21</v>
      </c>
    </row>
    <row r="26" spans="1:8" ht="15">
      <c r="A26" s="1"/>
      <c r="B26" s="1"/>
      <c r="C26" s="1"/>
      <c r="D26" s="1"/>
      <c r="E26" s="1"/>
      <c r="F26" s="1"/>
      <c r="G26" s="1"/>
      <c r="H26" s="1"/>
    </row>
    <row r="27" spans="1:8" ht="15">
      <c r="A27" s="1"/>
      <c r="B27" s="1"/>
      <c r="C27" s="1"/>
      <c r="D27" s="1"/>
      <c r="E27" s="1"/>
      <c r="F27" s="1"/>
      <c r="G27" s="1"/>
      <c r="H27" s="1"/>
    </row>
    <row r="28" spans="1:8" ht="15">
      <c r="A28" s="1"/>
      <c r="B28" s="1"/>
      <c r="C28" s="1"/>
      <c r="D28" s="1"/>
      <c r="E28" s="1"/>
      <c r="F28" s="1"/>
      <c r="G28" s="1"/>
      <c r="H28" s="1"/>
    </row>
    <row r="29" spans="1:8" ht="15">
      <c r="A29" s="1"/>
      <c r="B29" s="1"/>
      <c r="C29" s="1"/>
      <c r="D29" s="1"/>
      <c r="E29" s="1"/>
      <c r="F29" s="1"/>
      <c r="G29" s="1"/>
      <c r="H29" s="1"/>
    </row>
    <row r="30" spans="1:8" ht="15">
      <c r="A30" s="1"/>
      <c r="B30" s="1"/>
      <c r="C30" s="1"/>
      <c r="D30" s="1"/>
      <c r="E30" s="1"/>
      <c r="F30" s="1"/>
      <c r="G30" s="1"/>
      <c r="H30" s="1"/>
    </row>
    <row r="31" spans="1:8" ht="15">
      <c r="A31" s="1"/>
      <c r="B31" s="1"/>
      <c r="C31" s="1"/>
      <c r="D31" s="1"/>
      <c r="E31" s="1"/>
      <c r="F31" s="1"/>
      <c r="G31" s="1"/>
      <c r="H31" s="1"/>
    </row>
  </sheetData>
  <sheetProtection/>
  <mergeCells count="11">
    <mergeCell ref="H5:H6"/>
    <mergeCell ref="A11:A17"/>
    <mergeCell ref="I5:I6"/>
    <mergeCell ref="J5:J6"/>
    <mergeCell ref="A4:J4"/>
    <mergeCell ref="A5:A6"/>
    <mergeCell ref="B5:B6"/>
    <mergeCell ref="C5:C6"/>
    <mergeCell ref="D5:E5"/>
    <mergeCell ref="F5:F6"/>
    <mergeCell ref="G5:G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L31"/>
  <sheetViews>
    <sheetView zoomScalePageLayoutView="0" workbookViewId="0" topLeftCell="A1">
      <pane xSplit="4" ySplit="10" topLeftCell="E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D8" sqref="D8"/>
    </sheetView>
  </sheetViews>
  <sheetFormatPr defaultColWidth="9.140625" defaultRowHeight="15"/>
  <cols>
    <col min="1" max="1" width="5.00390625" style="0" customWidth="1"/>
    <col min="2" max="2" width="25.00390625" style="0" customWidth="1"/>
    <col min="3" max="3" width="18.140625" style="0" customWidth="1"/>
    <col min="4" max="4" width="15.57421875" style="0" customWidth="1"/>
    <col min="5" max="5" width="15.140625" style="0" customWidth="1"/>
    <col min="6" max="6" width="15.57421875" style="0" customWidth="1"/>
    <col min="7" max="7" width="16.7109375" style="0" customWidth="1"/>
    <col min="8" max="8" width="15.8515625" style="0" customWidth="1"/>
    <col min="9" max="9" width="12.421875" style="0" customWidth="1"/>
    <col min="10" max="10" width="13.8515625" style="0" customWidth="1"/>
    <col min="11" max="11" width="9.57421875" style="0" bestFit="1" customWidth="1"/>
  </cols>
  <sheetData>
    <row r="3" ht="15.75">
      <c r="C3" s="13" t="s">
        <v>43</v>
      </c>
    </row>
    <row r="4" spans="1:10" ht="15">
      <c r="A4" s="31" t="s">
        <v>8</v>
      </c>
      <c r="B4" s="31"/>
      <c r="C4" s="31"/>
      <c r="D4" s="31"/>
      <c r="E4" s="31"/>
      <c r="F4" s="31"/>
      <c r="G4" s="31"/>
      <c r="H4" s="31"/>
      <c r="I4" s="31"/>
      <c r="J4" s="31"/>
    </row>
    <row r="5" spans="1:10" ht="76.5" customHeight="1">
      <c r="A5" s="27" t="s">
        <v>0</v>
      </c>
      <c r="B5" s="29" t="s">
        <v>1</v>
      </c>
      <c r="C5" s="27" t="s">
        <v>2</v>
      </c>
      <c r="D5" s="32" t="s">
        <v>7</v>
      </c>
      <c r="E5" s="33"/>
      <c r="F5" s="27" t="s">
        <v>11</v>
      </c>
      <c r="G5" s="27" t="s">
        <v>3</v>
      </c>
      <c r="H5" s="27" t="s">
        <v>4</v>
      </c>
      <c r="I5" s="27" t="s">
        <v>5</v>
      </c>
      <c r="J5" s="29" t="s">
        <v>6</v>
      </c>
    </row>
    <row r="6" spans="1:10" ht="15.75">
      <c r="A6" s="28"/>
      <c r="B6" s="30"/>
      <c r="C6" s="28"/>
      <c r="D6" s="14" t="s">
        <v>16</v>
      </c>
      <c r="E6" s="15" t="s">
        <v>17</v>
      </c>
      <c r="F6" s="28"/>
      <c r="G6" s="28"/>
      <c r="H6" s="28"/>
      <c r="I6" s="28"/>
      <c r="J6" s="30"/>
    </row>
    <row r="7" spans="1:12" ht="15">
      <c r="A7" s="16">
        <v>1</v>
      </c>
      <c r="B7" s="17" t="s">
        <v>23</v>
      </c>
      <c r="C7" s="16"/>
      <c r="D7" s="18"/>
      <c r="E7" s="19"/>
      <c r="F7" s="20">
        <v>15.03</v>
      </c>
      <c r="G7" s="20">
        <v>11.901019340000001</v>
      </c>
      <c r="H7" s="20">
        <v>1.58</v>
      </c>
      <c r="I7" s="5">
        <v>0.47977816000000006</v>
      </c>
      <c r="J7" s="6">
        <v>0.00018133576234031297</v>
      </c>
      <c r="L7" s="10"/>
    </row>
    <row r="8" spans="1:12" ht="15">
      <c r="A8" s="2">
        <v>2</v>
      </c>
      <c r="B8" s="3" t="s">
        <v>33</v>
      </c>
      <c r="C8" s="6"/>
      <c r="D8" s="4"/>
      <c r="E8" s="4"/>
      <c r="F8" s="6">
        <v>313.25</v>
      </c>
      <c r="G8" s="5">
        <v>248.9753</v>
      </c>
      <c r="H8" s="5">
        <v>31.8</v>
      </c>
      <c r="I8" s="5">
        <v>10.0372</v>
      </c>
      <c r="J8" s="6">
        <v>0.0037936351954040363</v>
      </c>
      <c r="L8" s="10"/>
    </row>
    <row r="9" spans="1:12" ht="15.75" customHeight="1">
      <c r="A9" s="2">
        <v>3</v>
      </c>
      <c r="B9" s="3" t="s">
        <v>34</v>
      </c>
      <c r="C9" s="5" t="s">
        <v>44</v>
      </c>
      <c r="D9" s="4"/>
      <c r="E9" s="4"/>
      <c r="F9" s="5">
        <v>402.457</v>
      </c>
      <c r="G9" s="5">
        <v>334.6633</v>
      </c>
      <c r="H9" s="5">
        <v>10</v>
      </c>
      <c r="I9" s="5">
        <v>10.0372</v>
      </c>
      <c r="J9" s="6">
        <v>0.0037936351954040363</v>
      </c>
      <c r="L9" s="10"/>
    </row>
    <row r="10" spans="1:10" ht="15">
      <c r="A10" s="2">
        <v>4</v>
      </c>
      <c r="B10" s="3" t="s">
        <v>36</v>
      </c>
      <c r="C10" s="5"/>
      <c r="D10" s="4"/>
      <c r="E10" s="4"/>
      <c r="F10" s="5">
        <v>715.707</v>
      </c>
      <c r="G10" s="5">
        <v>583.6387</v>
      </c>
      <c r="H10" s="5">
        <v>41.8</v>
      </c>
      <c r="I10" s="5">
        <v>0</v>
      </c>
      <c r="J10" s="6">
        <v>0</v>
      </c>
    </row>
    <row r="11" spans="1:10" ht="15">
      <c r="A11" s="24">
        <v>5</v>
      </c>
      <c r="B11" s="3" t="s">
        <v>12</v>
      </c>
      <c r="C11" s="5"/>
      <c r="D11" s="7">
        <v>8694</v>
      </c>
      <c r="E11" s="7">
        <v>8761</v>
      </c>
      <c r="F11" s="6">
        <v>402</v>
      </c>
      <c r="G11" s="5">
        <v>0</v>
      </c>
      <c r="H11" s="5">
        <v>0</v>
      </c>
      <c r="I11" s="5">
        <v>402</v>
      </c>
      <c r="J11" s="6">
        <v>0.15193892206515985</v>
      </c>
    </row>
    <row r="12" spans="1:10" ht="15">
      <c r="A12" s="25"/>
      <c r="B12" s="3" t="s">
        <v>14</v>
      </c>
      <c r="C12" s="5"/>
      <c r="D12" s="7">
        <v>4121</v>
      </c>
      <c r="E12" s="7">
        <v>4150</v>
      </c>
      <c r="F12" s="6">
        <v>174</v>
      </c>
      <c r="G12" s="5">
        <v>0</v>
      </c>
      <c r="H12" s="5">
        <v>0</v>
      </c>
      <c r="I12" s="5">
        <v>174</v>
      </c>
      <c r="J12" s="6">
        <v>0.06576460805805427</v>
      </c>
    </row>
    <row r="13" spans="1:10" ht="15">
      <c r="A13" s="25"/>
      <c r="B13" s="3" t="s">
        <v>15</v>
      </c>
      <c r="C13" s="5"/>
      <c r="D13" s="7">
        <v>6440</v>
      </c>
      <c r="E13" s="7">
        <v>6473</v>
      </c>
      <c r="F13" s="6">
        <v>495</v>
      </c>
      <c r="G13" s="5">
        <v>0</v>
      </c>
      <c r="H13" s="5">
        <v>0</v>
      </c>
      <c r="I13" s="5">
        <v>495</v>
      </c>
      <c r="J13" s="6">
        <v>0.18708897119963716</v>
      </c>
    </row>
    <row r="14" spans="1:10" ht="15">
      <c r="A14" s="25"/>
      <c r="B14" s="3" t="s">
        <v>13</v>
      </c>
      <c r="C14" s="5"/>
      <c r="D14" s="7">
        <v>8800</v>
      </c>
      <c r="E14" s="7">
        <v>8849</v>
      </c>
      <c r="F14" s="6">
        <v>735</v>
      </c>
      <c r="G14" s="5">
        <v>0</v>
      </c>
      <c r="H14" s="5">
        <v>0</v>
      </c>
      <c r="I14" s="5">
        <v>735</v>
      </c>
      <c r="J14" s="6">
        <v>0.27779877541764303</v>
      </c>
    </row>
    <row r="15" spans="1:12" ht="15">
      <c r="A15" s="25"/>
      <c r="B15" s="3" t="s">
        <v>24</v>
      </c>
      <c r="C15" s="5"/>
      <c r="D15" s="7">
        <v>26264</v>
      </c>
      <c r="E15" s="7">
        <v>26419</v>
      </c>
      <c r="F15" s="6">
        <v>155</v>
      </c>
      <c r="G15" s="5">
        <v>0</v>
      </c>
      <c r="H15" s="5">
        <v>0</v>
      </c>
      <c r="I15" s="5">
        <v>155</v>
      </c>
      <c r="J15" s="6">
        <v>0.058583415224128806</v>
      </c>
      <c r="L15" s="10"/>
    </row>
    <row r="16" spans="1:12" ht="15">
      <c r="A16" s="25"/>
      <c r="B16" s="3" t="s">
        <v>25</v>
      </c>
      <c r="C16" s="5"/>
      <c r="D16" s="7">
        <v>28109</v>
      </c>
      <c r="E16" s="7">
        <v>28290</v>
      </c>
      <c r="F16" s="6">
        <v>181</v>
      </c>
      <c r="G16" s="5">
        <v>0</v>
      </c>
      <c r="H16" s="5">
        <v>0</v>
      </c>
      <c r="I16" s="5">
        <v>181</v>
      </c>
      <c r="J16" s="6">
        <v>0.06841031068107944</v>
      </c>
      <c r="K16" s="11"/>
      <c r="L16" s="10"/>
    </row>
    <row r="17" spans="1:10" ht="15">
      <c r="A17" s="26"/>
      <c r="B17" s="21" t="s">
        <v>18</v>
      </c>
      <c r="C17" s="21"/>
      <c r="D17" s="8"/>
      <c r="E17" s="21"/>
      <c r="F17" s="22">
        <v>2142</v>
      </c>
      <c r="G17" s="22">
        <v>0</v>
      </c>
      <c r="H17" s="22">
        <v>0</v>
      </c>
      <c r="I17" s="22">
        <v>2142</v>
      </c>
      <c r="J17" s="6">
        <v>0.8095850026457025</v>
      </c>
    </row>
    <row r="18" spans="1:10" ht="15">
      <c r="A18" s="1"/>
      <c r="B18" s="1"/>
      <c r="C18" s="1"/>
      <c r="D18" s="1"/>
      <c r="E18" s="1" t="s">
        <v>19</v>
      </c>
      <c r="F18" s="23">
        <v>1052</v>
      </c>
      <c r="G18" s="23">
        <v>0</v>
      </c>
      <c r="H18" s="23">
        <v>0</v>
      </c>
      <c r="I18" s="23">
        <v>1052</v>
      </c>
      <c r="J18" s="6">
        <v>0.39761130848892584</v>
      </c>
    </row>
    <row r="19" spans="1:10" ht="15">
      <c r="A19" s="1"/>
      <c r="B19" s="1"/>
      <c r="C19" s="12"/>
      <c r="D19" s="1"/>
      <c r="E19" s="1" t="s">
        <v>20</v>
      </c>
      <c r="F19" s="9">
        <v>1090</v>
      </c>
      <c r="G19" s="9">
        <v>0</v>
      </c>
      <c r="H19" s="9">
        <v>0</v>
      </c>
      <c r="I19" s="9">
        <v>1090</v>
      </c>
      <c r="J19" s="6">
        <v>0.41197369415677676</v>
      </c>
    </row>
    <row r="20" spans="1:8" ht="15">
      <c r="A20" s="1"/>
      <c r="B20" s="1"/>
      <c r="C20" s="1"/>
      <c r="D20" s="1"/>
      <c r="E20" s="1"/>
      <c r="F20" s="1"/>
      <c r="G20" s="1"/>
      <c r="H20" s="1"/>
    </row>
    <row r="21" spans="1:8" ht="15">
      <c r="A21" s="1"/>
      <c r="B21" s="1"/>
      <c r="C21" s="1"/>
      <c r="D21" s="1"/>
      <c r="E21" s="1"/>
      <c r="F21" s="1"/>
      <c r="G21" s="1"/>
      <c r="H21" s="1"/>
    </row>
    <row r="22" spans="1:8" ht="15">
      <c r="A22" s="1"/>
      <c r="B22" s="1"/>
      <c r="C22" s="1"/>
      <c r="D22" s="1"/>
      <c r="E22" s="1"/>
      <c r="F22" s="1"/>
      <c r="G22" s="1"/>
      <c r="H22" s="1"/>
    </row>
    <row r="23" spans="1:8" ht="15">
      <c r="A23" s="1"/>
      <c r="B23" s="1"/>
      <c r="C23" s="1"/>
      <c r="D23" s="1"/>
      <c r="E23" s="1"/>
      <c r="F23" s="1"/>
      <c r="G23" s="1"/>
      <c r="H23" s="1"/>
    </row>
    <row r="24" spans="1:8" ht="15">
      <c r="A24" s="1"/>
      <c r="B24" s="1"/>
      <c r="C24" s="1"/>
      <c r="D24" s="1"/>
      <c r="E24" s="1"/>
      <c r="F24" s="1"/>
      <c r="G24" s="1"/>
      <c r="H24" s="1"/>
    </row>
    <row r="25" spans="1:9" ht="15">
      <c r="A25" s="1"/>
      <c r="B25" s="1"/>
      <c r="C25" s="1"/>
      <c r="D25" s="1"/>
      <c r="E25" s="1"/>
      <c r="F25" s="1"/>
      <c r="G25" s="1"/>
      <c r="H25" s="1"/>
      <c r="I25" t="s">
        <v>21</v>
      </c>
    </row>
    <row r="26" spans="1:8" ht="15">
      <c r="A26" s="1"/>
      <c r="B26" s="1"/>
      <c r="C26" s="1"/>
      <c r="D26" s="1"/>
      <c r="E26" s="1"/>
      <c r="F26" s="1"/>
      <c r="G26" s="1"/>
      <c r="H26" s="1"/>
    </row>
    <row r="27" spans="1:8" ht="15">
      <c r="A27" s="1"/>
      <c r="B27" s="1"/>
      <c r="C27" s="1"/>
      <c r="D27" s="1"/>
      <c r="E27" s="1"/>
      <c r="F27" s="1"/>
      <c r="G27" s="1"/>
      <c r="H27" s="1"/>
    </row>
    <row r="28" spans="1:8" ht="15">
      <c r="A28" s="1"/>
      <c r="B28" s="1"/>
      <c r="C28" s="1"/>
      <c r="D28" s="1"/>
      <c r="E28" s="1"/>
      <c r="F28" s="1"/>
      <c r="G28" s="1"/>
      <c r="H28" s="1"/>
    </row>
    <row r="29" spans="1:8" ht="15">
      <c r="A29" s="1"/>
      <c r="B29" s="1"/>
      <c r="C29" s="1"/>
      <c r="D29" s="1"/>
      <c r="E29" s="1"/>
      <c r="F29" s="1"/>
      <c r="G29" s="1"/>
      <c r="H29" s="1"/>
    </row>
    <row r="30" spans="1:8" ht="15">
      <c r="A30" s="1"/>
      <c r="B30" s="1"/>
      <c r="C30" s="1"/>
      <c r="D30" s="1"/>
      <c r="E30" s="1"/>
      <c r="F30" s="1"/>
      <c r="G30" s="1"/>
      <c r="H30" s="1"/>
    </row>
    <row r="31" spans="1:8" ht="15">
      <c r="A31" s="1"/>
      <c r="B31" s="1"/>
      <c r="C31" s="1"/>
      <c r="D31" s="1"/>
      <c r="E31" s="1"/>
      <c r="F31" s="1"/>
      <c r="G31" s="1"/>
      <c r="H31" s="1"/>
    </row>
  </sheetData>
  <sheetProtection/>
  <mergeCells count="11">
    <mergeCell ref="A4:J4"/>
    <mergeCell ref="A5:A6"/>
    <mergeCell ref="B5:B6"/>
    <mergeCell ref="C5:C6"/>
    <mergeCell ref="D5:E5"/>
    <mergeCell ref="F5:F6"/>
    <mergeCell ref="G5:G6"/>
    <mergeCell ref="H5:H6"/>
    <mergeCell ref="I5:I6"/>
    <mergeCell ref="J5:J6"/>
    <mergeCell ref="A11:A17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L31"/>
  <sheetViews>
    <sheetView zoomScalePageLayoutView="0" workbookViewId="0" topLeftCell="A1">
      <pane xSplit="4" ySplit="10" topLeftCell="E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C9" sqref="C9"/>
    </sheetView>
  </sheetViews>
  <sheetFormatPr defaultColWidth="9.140625" defaultRowHeight="15"/>
  <cols>
    <col min="1" max="1" width="5.00390625" style="0" customWidth="1"/>
    <col min="2" max="2" width="25.00390625" style="0" customWidth="1"/>
    <col min="3" max="3" width="26.421875" style="0" customWidth="1"/>
    <col min="4" max="4" width="15.57421875" style="0" customWidth="1"/>
    <col min="5" max="5" width="15.140625" style="0" customWidth="1"/>
    <col min="6" max="6" width="15.57421875" style="0" customWidth="1"/>
    <col min="7" max="7" width="16.7109375" style="0" customWidth="1"/>
    <col min="8" max="8" width="15.8515625" style="0" customWidth="1"/>
    <col min="9" max="9" width="12.421875" style="0" customWidth="1"/>
    <col min="10" max="10" width="13.8515625" style="0" customWidth="1"/>
    <col min="11" max="11" width="9.57421875" style="0" bestFit="1" customWidth="1"/>
  </cols>
  <sheetData>
    <row r="3" ht="15.75">
      <c r="C3" s="13" t="s">
        <v>45</v>
      </c>
    </row>
    <row r="4" spans="1:10" ht="15">
      <c r="A4" s="31" t="s">
        <v>8</v>
      </c>
      <c r="B4" s="31"/>
      <c r="C4" s="31"/>
      <c r="D4" s="31"/>
      <c r="E4" s="31"/>
      <c r="F4" s="31"/>
      <c r="G4" s="31"/>
      <c r="H4" s="31"/>
      <c r="I4" s="31"/>
      <c r="J4" s="31"/>
    </row>
    <row r="5" spans="1:10" ht="76.5" customHeight="1">
      <c r="A5" s="27" t="s">
        <v>0</v>
      </c>
      <c r="B5" s="29" t="s">
        <v>1</v>
      </c>
      <c r="C5" s="27" t="s">
        <v>2</v>
      </c>
      <c r="D5" s="32" t="s">
        <v>7</v>
      </c>
      <c r="E5" s="33"/>
      <c r="F5" s="27" t="s">
        <v>11</v>
      </c>
      <c r="G5" s="27" t="s">
        <v>3</v>
      </c>
      <c r="H5" s="27" t="s">
        <v>4</v>
      </c>
      <c r="I5" s="27" t="s">
        <v>5</v>
      </c>
      <c r="J5" s="29" t="s">
        <v>6</v>
      </c>
    </row>
    <row r="6" spans="1:10" ht="15.75">
      <c r="A6" s="28"/>
      <c r="B6" s="30"/>
      <c r="C6" s="28"/>
      <c r="D6" s="14" t="s">
        <v>16</v>
      </c>
      <c r="E6" s="15" t="s">
        <v>17</v>
      </c>
      <c r="F6" s="28"/>
      <c r="G6" s="28"/>
      <c r="H6" s="28"/>
      <c r="I6" s="28"/>
      <c r="J6" s="30"/>
    </row>
    <row r="7" spans="1:12" ht="15">
      <c r="A7" s="16">
        <v>1</v>
      </c>
      <c r="B7" s="17" t="s">
        <v>23</v>
      </c>
      <c r="C7" s="16"/>
      <c r="D7" s="18"/>
      <c r="E7" s="19"/>
      <c r="F7" s="20">
        <v>18.84</v>
      </c>
      <c r="G7" s="20">
        <v>11.290837999999999</v>
      </c>
      <c r="H7" s="20">
        <v>2.16</v>
      </c>
      <c r="I7" s="5">
        <v>0.47977816000000006</v>
      </c>
      <c r="J7" s="6">
        <v>0.0001813426163208225</v>
      </c>
      <c r="L7" s="10"/>
    </row>
    <row r="8" spans="1:12" ht="15">
      <c r="A8" s="2">
        <v>2</v>
      </c>
      <c r="B8" s="3" t="s">
        <v>33</v>
      </c>
      <c r="C8" s="6"/>
      <c r="D8" s="4"/>
      <c r="E8" s="4"/>
      <c r="F8" s="6">
        <v>387.15</v>
      </c>
      <c r="G8" s="5">
        <v>236.20999999999998</v>
      </c>
      <c r="H8" s="5">
        <v>38.16</v>
      </c>
      <c r="I8" s="5">
        <v>10.0372</v>
      </c>
      <c r="J8" s="6">
        <v>0.003793778584117625</v>
      </c>
      <c r="L8" s="10"/>
    </row>
    <row r="9" spans="1:12" ht="15.75" customHeight="1">
      <c r="A9" s="2">
        <v>3</v>
      </c>
      <c r="B9" s="3" t="s">
        <v>34</v>
      </c>
      <c r="C9" s="5" t="s">
        <v>46</v>
      </c>
      <c r="D9" s="4"/>
      <c r="E9" s="4"/>
      <c r="F9" s="5">
        <v>399.592</v>
      </c>
      <c r="G9" s="5">
        <v>285.18</v>
      </c>
      <c r="H9" s="5">
        <v>15</v>
      </c>
      <c r="I9" s="5">
        <v>10.0372</v>
      </c>
      <c r="J9" s="6">
        <v>0.003793778584117625</v>
      </c>
      <c r="L9" s="10"/>
    </row>
    <row r="10" spans="1:10" ht="15">
      <c r="A10" s="2">
        <v>4</v>
      </c>
      <c r="B10" s="3" t="s">
        <v>36</v>
      </c>
      <c r="C10" s="5"/>
      <c r="D10" s="4"/>
      <c r="E10" s="4"/>
      <c r="F10" s="5">
        <v>786.742</v>
      </c>
      <c r="G10" s="5">
        <v>521.39</v>
      </c>
      <c r="H10" s="5">
        <v>53.16</v>
      </c>
      <c r="I10" s="5">
        <v>0</v>
      </c>
      <c r="J10" s="6">
        <v>0</v>
      </c>
    </row>
    <row r="11" spans="1:10" ht="15">
      <c r="A11" s="24">
        <v>5</v>
      </c>
      <c r="B11" s="3" t="s">
        <v>12</v>
      </c>
      <c r="C11" s="5"/>
      <c r="D11" s="7">
        <v>8761</v>
      </c>
      <c r="E11" s="7">
        <v>8822</v>
      </c>
      <c r="F11" s="6">
        <v>366</v>
      </c>
      <c r="G11" s="5">
        <v>0</v>
      </c>
      <c r="H11" s="5">
        <v>0</v>
      </c>
      <c r="I11" s="5">
        <v>366</v>
      </c>
      <c r="J11" s="6">
        <v>0.13833768000907135</v>
      </c>
    </row>
    <row r="12" spans="1:10" ht="15">
      <c r="A12" s="25"/>
      <c r="B12" s="3" t="s">
        <v>14</v>
      </c>
      <c r="C12" s="5"/>
      <c r="D12" s="7">
        <v>4150</v>
      </c>
      <c r="E12" s="7">
        <v>4172</v>
      </c>
      <c r="F12" s="6">
        <v>132</v>
      </c>
      <c r="G12" s="5">
        <v>0</v>
      </c>
      <c r="H12" s="5">
        <v>0</v>
      </c>
      <c r="I12" s="5">
        <v>132</v>
      </c>
      <c r="J12" s="6">
        <v>0.049892278036058516</v>
      </c>
    </row>
    <row r="13" spans="1:10" ht="15">
      <c r="A13" s="25"/>
      <c r="B13" s="3" t="s">
        <v>15</v>
      </c>
      <c r="C13" s="5"/>
      <c r="D13" s="7">
        <v>6473</v>
      </c>
      <c r="E13" s="7">
        <v>6516</v>
      </c>
      <c r="F13" s="6">
        <v>645</v>
      </c>
      <c r="G13" s="5">
        <v>0</v>
      </c>
      <c r="H13" s="5">
        <v>0</v>
      </c>
      <c r="I13" s="5">
        <v>645</v>
      </c>
      <c r="J13" s="6">
        <v>0.24379181313074047</v>
      </c>
    </row>
    <row r="14" spans="1:10" ht="15">
      <c r="A14" s="25"/>
      <c r="B14" s="3" t="s">
        <v>13</v>
      </c>
      <c r="C14" s="5"/>
      <c r="D14" s="7">
        <v>8849</v>
      </c>
      <c r="E14" s="7">
        <v>8902</v>
      </c>
      <c r="F14" s="6">
        <v>795</v>
      </c>
      <c r="G14" s="5">
        <v>0</v>
      </c>
      <c r="H14" s="5">
        <v>0</v>
      </c>
      <c r="I14" s="5">
        <v>795</v>
      </c>
      <c r="J14" s="6">
        <v>0.3004875836262615</v>
      </c>
    </row>
    <row r="15" spans="1:12" ht="15">
      <c r="A15" s="25"/>
      <c r="B15" s="3" t="s">
        <v>24</v>
      </c>
      <c r="C15" s="5"/>
      <c r="D15" s="7">
        <v>26419</v>
      </c>
      <c r="E15" s="7">
        <v>26566</v>
      </c>
      <c r="F15" s="6">
        <v>147</v>
      </c>
      <c r="G15" s="5">
        <v>0</v>
      </c>
      <c r="H15" s="5">
        <v>0</v>
      </c>
      <c r="I15" s="5">
        <v>147</v>
      </c>
      <c r="J15" s="6">
        <v>0.055561855085610616</v>
      </c>
      <c r="L15" s="10"/>
    </row>
    <row r="16" spans="1:12" ht="15">
      <c r="A16" s="25"/>
      <c r="B16" s="3" t="s">
        <v>25</v>
      </c>
      <c r="C16" s="5"/>
      <c r="D16" s="7">
        <v>28290</v>
      </c>
      <c r="E16" s="7">
        <v>28460</v>
      </c>
      <c r="F16" s="6">
        <v>170</v>
      </c>
      <c r="G16" s="5">
        <v>0</v>
      </c>
      <c r="H16" s="5">
        <v>0</v>
      </c>
      <c r="I16" s="5">
        <v>170</v>
      </c>
      <c r="J16" s="6">
        <v>0.0642552065615905</v>
      </c>
      <c r="K16" s="11"/>
      <c r="L16" s="10"/>
    </row>
    <row r="17" spans="1:10" ht="15">
      <c r="A17" s="26"/>
      <c r="B17" s="21" t="s">
        <v>18</v>
      </c>
      <c r="C17" s="21"/>
      <c r="D17" s="8"/>
      <c r="E17" s="21"/>
      <c r="F17" s="22">
        <v>2255</v>
      </c>
      <c r="G17" s="22">
        <v>0</v>
      </c>
      <c r="H17" s="22">
        <v>0</v>
      </c>
      <c r="I17" s="22">
        <v>2255</v>
      </c>
      <c r="J17" s="6">
        <v>0.8523264164493329</v>
      </c>
    </row>
    <row r="18" spans="1:10" ht="15">
      <c r="A18" s="1"/>
      <c r="B18" s="1"/>
      <c r="C18" s="1"/>
      <c r="D18" s="1"/>
      <c r="E18" s="1" t="s">
        <v>19</v>
      </c>
      <c r="F18" s="23">
        <v>1158</v>
      </c>
      <c r="G18" s="23">
        <v>0</v>
      </c>
      <c r="H18" s="23">
        <v>0</v>
      </c>
      <c r="I18" s="23">
        <v>1158</v>
      </c>
      <c r="J18" s="6">
        <v>0.43769134822542244</v>
      </c>
    </row>
    <row r="19" spans="1:10" ht="15">
      <c r="A19" s="1"/>
      <c r="B19" s="1"/>
      <c r="C19" s="12"/>
      <c r="D19" s="1"/>
      <c r="E19" s="1" t="s">
        <v>20</v>
      </c>
      <c r="F19" s="9">
        <v>1097</v>
      </c>
      <c r="G19" s="9">
        <v>0</v>
      </c>
      <c r="H19" s="9">
        <v>0</v>
      </c>
      <c r="I19" s="9">
        <v>1097</v>
      </c>
      <c r="J19" s="6">
        <v>0.41463506822391055</v>
      </c>
    </row>
    <row r="20" spans="1:8" ht="15">
      <c r="A20" s="1"/>
      <c r="B20" s="1"/>
      <c r="C20" s="1"/>
      <c r="D20" s="1"/>
      <c r="E20" s="1"/>
      <c r="F20" s="1"/>
      <c r="G20" s="1"/>
      <c r="H20" s="1"/>
    </row>
    <row r="21" spans="1:8" ht="15">
      <c r="A21" s="1"/>
      <c r="B21" s="1"/>
      <c r="C21" s="1"/>
      <c r="D21" s="1"/>
      <c r="E21" s="1"/>
      <c r="F21" s="1"/>
      <c r="G21" s="1"/>
      <c r="H21" s="1"/>
    </row>
    <row r="22" spans="1:8" ht="15">
      <c r="A22" s="1"/>
      <c r="B22" s="1"/>
      <c r="C22" s="1"/>
      <c r="D22" s="1"/>
      <c r="E22" s="1"/>
      <c r="F22" s="1"/>
      <c r="G22" s="1"/>
      <c r="H22" s="1"/>
    </row>
    <row r="23" spans="1:8" ht="15">
      <c r="A23" s="1"/>
      <c r="B23" s="1"/>
      <c r="C23" s="1"/>
      <c r="D23" s="1"/>
      <c r="E23" s="1"/>
      <c r="F23" s="1"/>
      <c r="G23" s="1"/>
      <c r="H23" s="1"/>
    </row>
    <row r="24" spans="1:8" ht="15">
      <c r="A24" s="1"/>
      <c r="B24" s="1"/>
      <c r="C24" s="1"/>
      <c r="D24" s="1"/>
      <c r="E24" s="1"/>
      <c r="F24" s="1"/>
      <c r="G24" s="1"/>
      <c r="H24" s="1"/>
    </row>
    <row r="25" spans="1:9" ht="15">
      <c r="A25" s="1"/>
      <c r="B25" s="1"/>
      <c r="C25" s="1"/>
      <c r="D25" s="1"/>
      <c r="E25" s="1"/>
      <c r="F25" s="1"/>
      <c r="G25" s="1"/>
      <c r="H25" s="1"/>
      <c r="I25" t="s">
        <v>21</v>
      </c>
    </row>
    <row r="26" spans="1:8" ht="15">
      <c r="A26" s="1"/>
      <c r="B26" s="1"/>
      <c r="C26" s="1"/>
      <c r="D26" s="1"/>
      <c r="E26" s="1"/>
      <c r="F26" s="1"/>
      <c r="G26" s="1"/>
      <c r="H26" s="1"/>
    </row>
    <row r="27" spans="1:8" ht="15">
      <c r="A27" s="1"/>
      <c r="B27" s="1"/>
      <c r="C27" s="1"/>
      <c r="D27" s="1"/>
      <c r="E27" s="1"/>
      <c r="F27" s="1"/>
      <c r="G27" s="1"/>
      <c r="H27" s="1"/>
    </row>
    <row r="28" spans="1:8" ht="15">
      <c r="A28" s="1"/>
      <c r="B28" s="1"/>
      <c r="C28" s="1"/>
      <c r="D28" s="1"/>
      <c r="E28" s="1"/>
      <c r="F28" s="1"/>
      <c r="G28" s="1"/>
      <c r="H28" s="1"/>
    </row>
    <row r="29" spans="1:8" ht="15">
      <c r="A29" s="1"/>
      <c r="B29" s="1"/>
      <c r="C29" s="1"/>
      <c r="D29" s="1"/>
      <c r="E29" s="1"/>
      <c r="F29" s="1"/>
      <c r="G29" s="1"/>
      <c r="H29" s="1"/>
    </row>
    <row r="30" spans="1:8" ht="15">
      <c r="A30" s="1"/>
      <c r="B30" s="1"/>
      <c r="C30" s="1"/>
      <c r="D30" s="1"/>
      <c r="E30" s="1"/>
      <c r="F30" s="1"/>
      <c r="G30" s="1"/>
      <c r="H30" s="1"/>
    </row>
    <row r="31" spans="1:8" ht="15">
      <c r="A31" s="1"/>
      <c r="B31" s="1"/>
      <c r="C31" s="1"/>
      <c r="D31" s="1"/>
      <c r="E31" s="1"/>
      <c r="F31" s="1"/>
      <c r="G31" s="1"/>
      <c r="H31" s="1"/>
    </row>
  </sheetData>
  <sheetProtection/>
  <mergeCells count="11">
    <mergeCell ref="I5:I6"/>
    <mergeCell ref="J5:J6"/>
    <mergeCell ref="A11:A17"/>
    <mergeCell ref="A4:J4"/>
    <mergeCell ref="A5:A6"/>
    <mergeCell ref="B5:B6"/>
    <mergeCell ref="C5:C6"/>
    <mergeCell ref="D5:E5"/>
    <mergeCell ref="F5:F6"/>
    <mergeCell ref="G5:G6"/>
    <mergeCell ref="H5:H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2012-11-21T06:16:57Z</cp:lastPrinted>
  <dcterms:created xsi:type="dcterms:W3CDTF">2006-09-16T00:00:00Z</dcterms:created>
  <dcterms:modified xsi:type="dcterms:W3CDTF">2015-01-30T08:24:04Z</dcterms:modified>
  <cp:category/>
  <cp:version/>
  <cp:contentType/>
  <cp:contentStatus/>
</cp:coreProperties>
</file>