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.2 (январь) " sheetId="1" r:id="rId1"/>
    <sheet name="61.2 (февраль)  " sheetId="2" r:id="rId2"/>
    <sheet name="61.2 (март)" sheetId="3" r:id="rId3"/>
    <sheet name="61.2 (апрель)" sheetId="4" r:id="rId4"/>
    <sheet name="61.2 (май)" sheetId="5" r:id="rId5"/>
    <sheet name="61.2 (июнь)" sheetId="6" r:id="rId6"/>
    <sheet name="61.2 (июль)" sheetId="7" r:id="rId7"/>
    <sheet name="61.2 (август)" sheetId="8" r:id="rId8"/>
    <sheet name="61.2 (сентябрь)" sheetId="9" r:id="rId9"/>
    <sheet name="61.2 (октябрь)" sheetId="10" r:id="rId10"/>
    <sheet name="61.2 (ноябрь)" sheetId="11" r:id="rId11"/>
    <sheet name="61.2 (декабрь)" sheetId="12" r:id="rId12"/>
    <sheet name="Лист2" sheetId="13" r:id="rId13"/>
    <sheet name="Лист3" sheetId="14" r:id="rId14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выставлено за февраль 2013г.  300 кВт.ч и март 230 кВт.ч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Автор:
Выставлено за февраль 1245 кВт.ч и март 1200 кВт.ч по показаниям, а поставщик предъявил по сред
нему в марте 1773 кВт.ч
</t>
        </r>
      </text>
    </comment>
  </commentList>
</comments>
</file>

<file path=xl/sharedStrings.xml><?xml version="1.0" encoding="utf-8"?>
<sst xmlns="http://schemas.openxmlformats.org/spreadsheetml/2006/main" count="346" uniqueCount="59">
  <si>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</si>
  <si>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</si>
  <si>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</si>
  <si>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</si>
  <si>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</si>
  <si>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</si>
  <si>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</si>
  <si>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</si>
  <si>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61-2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</si>
  <si>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</si>
  <si>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</si>
  <si>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</si>
  <si>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</si>
  <si>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</si>
  <si>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</si>
  <si>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сч.782415</t>
  </si>
  <si>
    <t>эл.эн.ночь № сч.782415</t>
  </si>
  <si>
    <t>эл.эн.день № сч.782416</t>
  </si>
  <si>
    <t>эл.эн.ночь № сч.782416</t>
  </si>
  <si>
    <t>эл.эн.№ сч.446669</t>
  </si>
  <si>
    <t>эл.эн.№ сч.443475</t>
  </si>
  <si>
    <t>ХВС (тонн)</t>
  </si>
  <si>
    <t>ночь эл.эн.</t>
  </si>
  <si>
    <t>день эл.эн.</t>
  </si>
  <si>
    <t>Объем коммунальных услуг по показаниям общедомовых приборов учета (ОДН) за январь в феврале 2013г.</t>
  </si>
  <si>
    <t>153701,77/154565,54</t>
  </si>
  <si>
    <t>Объем коммунальных услуг по показаниям общедомовых приборов учета (ОДН) за февраль в марте 2013г.</t>
  </si>
  <si>
    <t>153979,63./155050,60</t>
  </si>
  <si>
    <t>Объем коммунальных услуг по показаниям общедомовых приборов учета (ОДН) за март в апреле 2013г.</t>
  </si>
  <si>
    <t>155050,60./156001,83</t>
  </si>
  <si>
    <t>Объем коммунальных услуг по показаниям общедомовых приборов учета (ОДН) за апрель в мае 2013г.</t>
  </si>
  <si>
    <t>нагрев воды (Г.кал.)</t>
  </si>
  <si>
    <t>156001,83./157001,407</t>
  </si>
  <si>
    <t>Объем коммунальных услуг по показаниям общедомовых приборов учета (ОДН) за май в июне 2013г.</t>
  </si>
  <si>
    <t>157151,28,/158082,58</t>
  </si>
  <si>
    <t>Объем коммунальных услуг по показаниям общедомовых приборов учета (ОДН) за июнь в июле 2013г.</t>
  </si>
  <si>
    <t>158082,58,/159041,42</t>
  </si>
  <si>
    <t>эл.эн.№ сч.629859</t>
  </si>
  <si>
    <t>эл.эн.№ сч.660136</t>
  </si>
  <si>
    <t>Объем коммунальных услуг по показаниям общедомовых приборов учета (ОДН) за июль в августе 2013г.</t>
  </si>
  <si>
    <t>158139,86,/159047,37</t>
  </si>
  <si>
    <t>эл.эн.день № сч.629859</t>
  </si>
  <si>
    <t>эл.эн.ночь № сч.629859</t>
  </si>
  <si>
    <t>эл.эн.день № сч.660136</t>
  </si>
  <si>
    <t>эл.эн.ночь № сч.660136</t>
  </si>
  <si>
    <t>Объем коммунальных услуг по показаниям общедомовых приборов учета (ОДН) за август в сентябре 2013г.</t>
  </si>
  <si>
    <t>158417,82/159368,18</t>
  </si>
  <si>
    <t>Объем коммунальных услуг по показаниям общедомовых приборов учета (ОДН) за сентябрь в октябре 2013г.</t>
  </si>
  <si>
    <t>159368,18/160339,93</t>
  </si>
  <si>
    <t>Объем коммунальных услуг по показаниям общедомовых приборов учета (ОДН) за октябрь в ноябре 2013г.</t>
  </si>
  <si>
    <t>161429,47/162395,19</t>
  </si>
  <si>
    <t>эл.эн.день № сч.782437</t>
  </si>
  <si>
    <t>эл.эн.ночь № сч.782437</t>
  </si>
  <si>
    <t>эл.эн.день № сч.738197</t>
  </si>
  <si>
    <t>эл.эн.ночь № сч.738197</t>
  </si>
  <si>
    <t>Объем коммунальных услуг по показаниям общедомовых приборов учета (ОДН) за ноябрь в декабре 2013г.</t>
  </si>
  <si>
    <t>16239520,/163506,42</t>
  </si>
  <si>
    <t>164279,57,/165452,73</t>
  </si>
  <si>
    <t>Объем коммунальных услуг по показаниям общедомовых приборов учета (ОДН) за декабрь в январе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</si>
</sst>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2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24" borderId="10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8" sqref="A8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9" t="s">
        <v>24</v>
      </c>
    </row>
    <row r="4" spans="1:10" ht="15">
      <c r="A4" s="42" t="s">
        <v>8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90" customHeight="1">
      <c r="A5" s="36" t="s">
        <v>0</v>
      </c>
      <c r="B5" s="40" t="s">
        <v>1</v>
      </c>
      <c r="C5" s="36" t="s">
        <v>2</v>
      </c>
      <c r="D5" s="45" t="s">
        <v>7</v>
      </c>
      <c r="E5" s="46"/>
      <c r="F5" s="36" t="s">
        <v>11</v>
      </c>
      <c r="G5" s="36" t="s">
        <v>3</v>
      </c>
      <c r="H5" s="36" t="s">
        <v>4</v>
      </c>
      <c r="I5" s="36" t="s">
        <v>5</v>
      </c>
      <c r="J5" s="40" t="s">
        <v>6</v>
      </c>
    </row>
    <row r="6" spans="1:10" ht="21.75" customHeight="1">
      <c r="A6" s="37"/>
      <c r="B6" s="41"/>
      <c r="C6" s="37"/>
      <c r="D6" s="10" t="s">
        <v>12</v>
      </c>
      <c r="E6" s="4" t="s">
        <v>13</v>
      </c>
      <c r="F6" s="37"/>
      <c r="G6" s="37"/>
      <c r="H6" s="37"/>
      <c r="I6" s="37"/>
      <c r="J6" s="41"/>
    </row>
    <row r="7" spans="1:12" ht="15">
      <c r="A7" s="2">
        <v>1</v>
      </c>
      <c r="B7" s="3" t="s">
        <v>9</v>
      </c>
      <c r="C7" s="6"/>
      <c r="D7" s="8"/>
      <c r="E7" s="8"/>
      <c r="F7" s="6">
        <f>678.95+6.2+18.58+4.03+4.03</f>
        <v>711.7900000000001</v>
      </c>
      <c r="G7" s="5">
        <f>482.9186+154.832+2.81</f>
        <v>640.5606</v>
      </c>
      <c r="H7" s="5">
        <f>6.2+18.58+4.03+4.03</f>
        <v>32.839999999999996</v>
      </c>
      <c r="I7" s="7">
        <f aca="true" t="shared" si="0" ref="I7:I15">F7-G7-H7</f>
        <v>38.38940000000006</v>
      </c>
      <c r="J7" s="6">
        <f aca="true" t="shared" si="1" ref="J7:J18">I7/8403.17</f>
        <v>0.004568442623438543</v>
      </c>
      <c r="L7" s="17"/>
    </row>
    <row r="8" spans="1:12" ht="15">
      <c r="A8" s="2">
        <v>2</v>
      </c>
      <c r="B8" s="3" t="s">
        <v>21</v>
      </c>
      <c r="C8" s="7" t="s">
        <v>25</v>
      </c>
      <c r="D8" s="8"/>
      <c r="E8" s="8"/>
      <c r="F8" s="5">
        <v>863.77</v>
      </c>
      <c r="G8" s="5">
        <f>528.65+198.799+15.14</f>
        <v>742.5889999999999</v>
      </c>
      <c r="H8" s="5">
        <f>4+7+57+15</f>
        <v>83</v>
      </c>
      <c r="I8" s="7">
        <f t="shared" si="0"/>
        <v>38.18100000000004</v>
      </c>
      <c r="J8" s="6">
        <f t="shared" si="1"/>
        <v>0.0045436424587387905</v>
      </c>
      <c r="L8" s="17"/>
    </row>
    <row r="9" spans="1:12" ht="15">
      <c r="A9" s="2">
        <v>3</v>
      </c>
      <c r="B9" s="3" t="s">
        <v>10</v>
      </c>
      <c r="C9" s="7"/>
      <c r="D9" s="8"/>
      <c r="E9" s="8"/>
      <c r="F9" s="5">
        <f>F7+F8</f>
        <v>1575.56</v>
      </c>
      <c r="G9" s="5">
        <f>965.74+345.213+12.48+59.7166</f>
        <v>1383.1496</v>
      </c>
      <c r="H9" s="5">
        <f>H7+H8</f>
        <v>115.84</v>
      </c>
      <c r="I9" s="7">
        <f t="shared" si="0"/>
        <v>76.57039999999998</v>
      </c>
      <c r="J9" s="6">
        <f t="shared" si="1"/>
        <v>0.009112085082177318</v>
      </c>
      <c r="L9" s="17"/>
    </row>
    <row r="10" spans="1:10" ht="15">
      <c r="A10" s="38">
        <v>4</v>
      </c>
      <c r="B10" s="3" t="s">
        <v>15</v>
      </c>
      <c r="C10" s="7"/>
      <c r="D10" s="11">
        <f>6633</f>
        <v>6633</v>
      </c>
      <c r="E10" s="11">
        <v>6711</v>
      </c>
      <c r="F10" s="6">
        <f>(E10-D10)*15</f>
        <v>1170</v>
      </c>
      <c r="G10" s="7">
        <v>0</v>
      </c>
      <c r="H10" s="7">
        <v>0</v>
      </c>
      <c r="I10" s="7">
        <f t="shared" si="0"/>
        <v>1170</v>
      </c>
      <c r="J10" s="6">
        <f t="shared" si="1"/>
        <v>0.13923317033928861</v>
      </c>
    </row>
    <row r="11" spans="1:10" ht="15">
      <c r="A11" s="39"/>
      <c r="B11" s="3" t="s">
        <v>16</v>
      </c>
      <c r="C11" s="7"/>
      <c r="D11" s="11">
        <v>4801</v>
      </c>
      <c r="E11" s="11">
        <v>4860</v>
      </c>
      <c r="F11" s="6">
        <f>(E11-D11)*15</f>
        <v>885</v>
      </c>
      <c r="G11" s="7">
        <v>0</v>
      </c>
      <c r="H11" s="7">
        <v>0</v>
      </c>
      <c r="I11" s="7">
        <f t="shared" si="0"/>
        <v>885</v>
      </c>
      <c r="J11" s="6">
        <f t="shared" si="1"/>
        <v>0.10531739807715422</v>
      </c>
    </row>
    <row r="12" spans="1:10" ht="15">
      <c r="A12" s="39"/>
      <c r="B12" s="3" t="s">
        <v>17</v>
      </c>
      <c r="C12" s="7"/>
      <c r="D12" s="11">
        <v>5002</v>
      </c>
      <c r="E12" s="11">
        <v>5053</v>
      </c>
      <c r="F12" s="6">
        <f>(E12-D12)*10</f>
        <v>510</v>
      </c>
      <c r="G12" s="7">
        <v>0</v>
      </c>
      <c r="H12" s="7">
        <v>0</v>
      </c>
      <c r="I12" s="7">
        <f t="shared" si="0"/>
        <v>510</v>
      </c>
      <c r="J12" s="6">
        <f t="shared" si="1"/>
        <v>0.06069138194276684</v>
      </c>
    </row>
    <row r="13" spans="1:10" ht="15">
      <c r="A13" s="39"/>
      <c r="B13" s="3" t="s">
        <v>18</v>
      </c>
      <c r="C13" s="7"/>
      <c r="D13" s="11">
        <v>3661</v>
      </c>
      <c r="E13" s="11">
        <v>3699</v>
      </c>
      <c r="F13" s="6">
        <f>(E13-D13)*10</f>
        <v>380</v>
      </c>
      <c r="G13" s="7">
        <v>0</v>
      </c>
      <c r="H13" s="7">
        <v>0</v>
      </c>
      <c r="I13" s="7">
        <f t="shared" si="0"/>
        <v>380</v>
      </c>
      <c r="J13" s="6">
        <f t="shared" si="1"/>
        <v>0.04522102968284588</v>
      </c>
    </row>
    <row r="14" spans="1:10" ht="15">
      <c r="A14" s="39"/>
      <c r="B14" s="3" t="s">
        <v>19</v>
      </c>
      <c r="C14" s="7"/>
      <c r="D14" s="19">
        <v>840</v>
      </c>
      <c r="E14" s="19">
        <v>888</v>
      </c>
      <c r="F14" s="13">
        <f>(E14-D14)*10</f>
        <v>480</v>
      </c>
      <c r="G14" s="7">
        <v>0</v>
      </c>
      <c r="H14" s="7">
        <v>0</v>
      </c>
      <c r="I14" s="7">
        <f t="shared" si="0"/>
        <v>480</v>
      </c>
      <c r="J14" s="6">
        <f t="shared" si="1"/>
        <v>0.057121300652015844</v>
      </c>
    </row>
    <row r="15" spans="1:10" ht="15">
      <c r="A15" s="39"/>
      <c r="B15" s="3" t="s">
        <v>20</v>
      </c>
      <c r="C15" s="7"/>
      <c r="D15" s="19">
        <v>7380</v>
      </c>
      <c r="E15" s="19">
        <v>7495</v>
      </c>
      <c r="F15" s="13">
        <f>(E15-D15)*15</f>
        <v>1725</v>
      </c>
      <c r="G15" s="7">
        <v>0</v>
      </c>
      <c r="H15" s="7">
        <v>0</v>
      </c>
      <c r="I15" s="7">
        <f t="shared" si="0"/>
        <v>1725</v>
      </c>
      <c r="J15" s="6">
        <f t="shared" si="1"/>
        <v>0.20527967421818194</v>
      </c>
    </row>
    <row r="16" spans="1:10" ht="15">
      <c r="A16" s="12"/>
      <c r="B16" s="12" t="s">
        <v>14</v>
      </c>
      <c r="C16" s="12"/>
      <c r="D16" s="13"/>
      <c r="E16" s="12"/>
      <c r="F16" s="14">
        <f>SUM(F10:F15)</f>
        <v>5150</v>
      </c>
      <c r="G16" s="14">
        <f>SUM(G10:G15)</f>
        <v>0</v>
      </c>
      <c r="H16" s="14">
        <f>SUM(H10:H15)</f>
        <v>0</v>
      </c>
      <c r="I16" s="14">
        <f>SUM(I10:I15)</f>
        <v>5150</v>
      </c>
      <c r="J16" s="6">
        <f t="shared" si="1"/>
        <v>0.6128639549122533</v>
      </c>
    </row>
    <row r="17" spans="1:12" ht="15">
      <c r="A17" s="1"/>
      <c r="B17" s="1"/>
      <c r="C17" s="1"/>
      <c r="D17" s="1"/>
      <c r="E17" s="1" t="s">
        <v>23</v>
      </c>
      <c r="F17" s="16">
        <f>F10+F12+F14+F15</f>
        <v>3885</v>
      </c>
      <c r="G17" s="16">
        <f>G10+G12+G14+G15</f>
        <v>0</v>
      </c>
      <c r="H17" s="16">
        <f>H10+H12+H14+H15</f>
        <v>0</v>
      </c>
      <c r="I17" s="16">
        <f>I10+I12+I14+I15</f>
        <v>3885</v>
      </c>
      <c r="J17" s="6">
        <f t="shared" si="1"/>
        <v>0.4623255271522533</v>
      </c>
      <c r="K17" s="18"/>
      <c r="L17" s="17"/>
    </row>
    <row r="18" spans="1:12" ht="15">
      <c r="A18" s="1"/>
      <c r="B18" s="1"/>
      <c r="C18" s="1"/>
      <c r="D18" s="1"/>
      <c r="E18" s="1" t="s">
        <v>22</v>
      </c>
      <c r="F18" s="15">
        <f>F11+F13</f>
        <v>1265</v>
      </c>
      <c r="G18" s="15">
        <f>G11+G13</f>
        <v>0</v>
      </c>
      <c r="H18" s="15">
        <f>H11+H13</f>
        <v>0</v>
      </c>
      <c r="I18" s="15">
        <f>I11+I13</f>
        <v>1265</v>
      </c>
      <c r="J18" s="6">
        <f t="shared" si="1"/>
        <v>0.1505384277600001</v>
      </c>
      <c r="K18" s="18"/>
      <c r="L18" s="17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A10:A15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" sqref="C9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49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57.71+0.44+0.66+1.98+0.44</f>
        <v>61.22999999999999</v>
      </c>
      <c r="G7" s="32">
        <f>G8*0.0478</f>
        <v>37.345184</v>
      </c>
      <c r="H7" s="28">
        <f>0.44+0.66+1.98+0.44</f>
        <v>3.52</v>
      </c>
      <c r="I7" s="7">
        <f>24.9084*0.0478</f>
        <v>1.19062152</v>
      </c>
      <c r="J7" s="6">
        <f aca="true" t="shared" si="0" ref="J7:J25">I7/8290.17</f>
        <v>0.0001436184686200645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752.45+5.13+7.9+23.69+5.13</f>
        <v>794.3000000000001</v>
      </c>
      <c r="G8" s="5">
        <f>433.08+332.92+15.28</f>
        <v>781.28</v>
      </c>
      <c r="H8" s="5">
        <f>5.13+7.9+23.69+5.13</f>
        <v>41.85</v>
      </c>
      <c r="I8" s="7">
        <f>F8-G8-H8</f>
        <v>-28.829999999999906</v>
      </c>
      <c r="J8" s="6">
        <f t="shared" si="0"/>
        <v>-0.0034776126424427853</v>
      </c>
      <c r="L8" s="17"/>
    </row>
    <row r="9" spans="1:12" ht="15">
      <c r="A9" s="2">
        <v>3</v>
      </c>
      <c r="B9" s="3" t="s">
        <v>21</v>
      </c>
      <c r="C9" s="35" t="s">
        <v>50</v>
      </c>
      <c r="D9" s="8"/>
      <c r="E9" s="8"/>
      <c r="F9" s="5">
        <f>965.728</f>
        <v>965.728</v>
      </c>
      <c r="G9" s="5">
        <f>485+382.21+3.61</f>
        <v>870.82</v>
      </c>
      <c r="H9" s="5">
        <v>53</v>
      </c>
      <c r="I9" s="7">
        <v>24.9084</v>
      </c>
      <c r="J9" s="6">
        <f t="shared" si="0"/>
        <v>0.0030045704732231063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1760.028</v>
      </c>
      <c r="G10" s="5">
        <f>850.56+681.75+9.1+78.91+31.78</f>
        <v>1652.1</v>
      </c>
      <c r="H10" s="5">
        <f>H8+H9</f>
        <v>94.85</v>
      </c>
      <c r="I10" s="7">
        <v>0</v>
      </c>
      <c r="J10" s="6">
        <f t="shared" si="0"/>
        <v>0</v>
      </c>
    </row>
    <row r="11" spans="1:10" ht="15">
      <c r="A11" s="38">
        <v>5</v>
      </c>
      <c r="B11" s="3" t="s">
        <v>15</v>
      </c>
      <c r="C11" s="7"/>
      <c r="D11" s="11">
        <v>7136</v>
      </c>
      <c r="E11" s="11">
        <v>7187</v>
      </c>
      <c r="F11" s="6">
        <f>(E11-D11)*15</f>
        <v>765</v>
      </c>
      <c r="G11" s="7">
        <v>0</v>
      </c>
      <c r="H11" s="7">
        <v>0</v>
      </c>
      <c r="I11" s="7">
        <f aca="true" t="shared" si="1" ref="I11:I22">F11-G11-H11</f>
        <v>765</v>
      </c>
      <c r="J11" s="6">
        <f t="shared" si="0"/>
        <v>0.09227796293682759</v>
      </c>
    </row>
    <row r="12" spans="1:10" ht="15">
      <c r="A12" s="39"/>
      <c r="B12" s="3" t="s">
        <v>16</v>
      </c>
      <c r="C12" s="7"/>
      <c r="D12" s="11">
        <v>5156</v>
      </c>
      <c r="E12" s="11">
        <v>5196</v>
      </c>
      <c r="F12" s="6">
        <f>(E12-D12)*15</f>
        <v>600</v>
      </c>
      <c r="G12" s="7">
        <v>0</v>
      </c>
      <c r="H12" s="7">
        <v>0</v>
      </c>
      <c r="I12" s="7">
        <f t="shared" si="1"/>
        <v>600</v>
      </c>
      <c r="J12" s="6">
        <f t="shared" si="0"/>
        <v>0.07237487289162949</v>
      </c>
    </row>
    <row r="13" spans="1:10" ht="15">
      <c r="A13" s="39"/>
      <c r="B13" s="3" t="s">
        <v>17</v>
      </c>
      <c r="C13" s="7"/>
      <c r="D13" s="11">
        <v>5335</v>
      </c>
      <c r="E13" s="11">
        <v>5377</v>
      </c>
      <c r="F13" s="6">
        <f>(E13-D13)*10</f>
        <v>420</v>
      </c>
      <c r="G13" s="7">
        <v>0</v>
      </c>
      <c r="H13" s="7">
        <v>0</v>
      </c>
      <c r="I13" s="7">
        <f t="shared" si="1"/>
        <v>420</v>
      </c>
      <c r="J13" s="6">
        <f t="shared" si="0"/>
        <v>0.05066241102414064</v>
      </c>
    </row>
    <row r="14" spans="1:10" ht="15">
      <c r="A14" s="39"/>
      <c r="B14" s="3" t="s">
        <v>18</v>
      </c>
      <c r="C14" s="7"/>
      <c r="D14" s="11">
        <v>3905</v>
      </c>
      <c r="E14" s="11">
        <v>3938</v>
      </c>
      <c r="F14" s="6">
        <f>(E14-D14)*10</f>
        <v>330</v>
      </c>
      <c r="G14" s="7">
        <v>0</v>
      </c>
      <c r="H14" s="7">
        <v>0</v>
      </c>
      <c r="I14" s="7">
        <f t="shared" si="1"/>
        <v>330</v>
      </c>
      <c r="J14" s="6">
        <f t="shared" si="0"/>
        <v>0.039806180090396215</v>
      </c>
    </row>
    <row r="15" spans="1:10" ht="15">
      <c r="A15" s="39"/>
      <c r="B15" s="3" t="s">
        <v>41</v>
      </c>
      <c r="C15" s="7"/>
      <c r="D15" s="19">
        <v>2361</v>
      </c>
      <c r="E15" s="19">
        <v>3369</v>
      </c>
      <c r="F15" s="13">
        <f>(E15-D15)*1</f>
        <v>1008</v>
      </c>
      <c r="G15" s="7">
        <v>0</v>
      </c>
      <c r="H15" s="7">
        <v>0</v>
      </c>
      <c r="I15" s="7">
        <f t="shared" si="1"/>
        <v>1008</v>
      </c>
      <c r="J15" s="6">
        <f t="shared" si="0"/>
        <v>0.12158978645793753</v>
      </c>
    </row>
    <row r="16" spans="1:10" ht="15">
      <c r="A16" s="39"/>
      <c r="B16" s="3" t="s">
        <v>42</v>
      </c>
      <c r="C16" s="7"/>
      <c r="D16" s="19">
        <v>1539</v>
      </c>
      <c r="E16" s="19">
        <v>2153</v>
      </c>
      <c r="F16" s="13">
        <f>(E16-D16)*1</f>
        <v>614</v>
      </c>
      <c r="G16" s="7">
        <v>0</v>
      </c>
      <c r="H16" s="7">
        <v>0</v>
      </c>
      <c r="I16" s="7">
        <f t="shared" si="1"/>
        <v>614</v>
      </c>
      <c r="J16" s="6">
        <f t="shared" si="0"/>
        <v>0.0740636199257675</v>
      </c>
    </row>
    <row r="17" spans="1:12" ht="15">
      <c r="A17" s="39"/>
      <c r="B17" s="3" t="s">
        <v>43</v>
      </c>
      <c r="C17" s="7"/>
      <c r="D17" s="19">
        <v>819</v>
      </c>
      <c r="E17" s="19">
        <v>994</v>
      </c>
      <c r="F17" s="13">
        <f>(E17-D17)*1</f>
        <v>175</v>
      </c>
      <c r="G17" s="7">
        <v>0</v>
      </c>
      <c r="H17" s="7">
        <v>0</v>
      </c>
      <c r="I17" s="7">
        <f t="shared" si="1"/>
        <v>175</v>
      </c>
      <c r="J17" s="6">
        <f t="shared" si="0"/>
        <v>0.021109337926725265</v>
      </c>
      <c r="K17" s="18"/>
      <c r="L17" s="17"/>
    </row>
    <row r="18" spans="1:12" ht="15">
      <c r="A18" s="39"/>
      <c r="B18" s="3" t="s">
        <v>44</v>
      </c>
      <c r="C18" s="7"/>
      <c r="D18" s="19">
        <v>997</v>
      </c>
      <c r="E18" s="19">
        <v>1221</v>
      </c>
      <c r="F18" s="13">
        <f>(E18-D18)*1</f>
        <v>224</v>
      </c>
      <c r="G18" s="7">
        <v>0</v>
      </c>
      <c r="H18" s="7">
        <v>0</v>
      </c>
      <c r="I18" s="7">
        <f t="shared" si="1"/>
        <v>224</v>
      </c>
      <c r="J18" s="6">
        <f t="shared" si="0"/>
        <v>0.02701995254620834</v>
      </c>
      <c r="K18" s="18"/>
      <c r="L18" s="17"/>
    </row>
    <row r="19" spans="1:10" ht="15">
      <c r="A19" s="39"/>
      <c r="B19" s="3" t="s">
        <v>51</v>
      </c>
      <c r="C19" s="7"/>
      <c r="D19" s="19">
        <v>29749</v>
      </c>
      <c r="E19" s="19">
        <v>30014</v>
      </c>
      <c r="F19" s="13">
        <f>(E19-D19)*4</f>
        <v>1060</v>
      </c>
      <c r="G19" s="7">
        <v>0</v>
      </c>
      <c r="H19" s="7">
        <v>0</v>
      </c>
      <c r="I19" s="7">
        <f t="shared" si="1"/>
        <v>1060</v>
      </c>
      <c r="J19" s="6">
        <f t="shared" si="0"/>
        <v>0.12786227544187875</v>
      </c>
    </row>
    <row r="20" spans="1:10" ht="15">
      <c r="A20" s="39"/>
      <c r="B20" s="3" t="s">
        <v>52</v>
      </c>
      <c r="C20" s="7"/>
      <c r="D20" s="19">
        <v>31640</v>
      </c>
      <c r="E20" s="19">
        <v>31935</v>
      </c>
      <c r="F20" s="13">
        <f>(E20-D20)*4</f>
        <v>1180</v>
      </c>
      <c r="G20" s="7">
        <v>0</v>
      </c>
      <c r="H20" s="7">
        <v>0</v>
      </c>
      <c r="I20" s="7">
        <f t="shared" si="1"/>
        <v>1180</v>
      </c>
      <c r="J20" s="6">
        <f t="shared" si="0"/>
        <v>0.14233725002020464</v>
      </c>
    </row>
    <row r="21" spans="1:10" ht="15">
      <c r="A21" s="39"/>
      <c r="B21" s="3" t="s">
        <v>53</v>
      </c>
      <c r="C21" s="7"/>
      <c r="D21" s="19">
        <v>3750</v>
      </c>
      <c r="E21" s="19">
        <v>3784</v>
      </c>
      <c r="F21" s="13">
        <f>(E21-D21)*4</f>
        <v>136</v>
      </c>
      <c r="G21" s="7">
        <v>0</v>
      </c>
      <c r="H21" s="7">
        <v>0</v>
      </c>
      <c r="I21" s="7">
        <f t="shared" si="1"/>
        <v>136</v>
      </c>
      <c r="J21" s="6">
        <f t="shared" si="0"/>
        <v>0.016404971188769348</v>
      </c>
    </row>
    <row r="22" spans="1:10" ht="15">
      <c r="A22" s="39"/>
      <c r="B22" s="3" t="s">
        <v>54</v>
      </c>
      <c r="C22" s="7"/>
      <c r="D22" s="19">
        <v>1330</v>
      </c>
      <c r="E22" s="19">
        <v>1331</v>
      </c>
      <c r="F22" s="13">
        <f>(E22-D22)*4</f>
        <v>4</v>
      </c>
      <c r="G22" s="7">
        <v>0</v>
      </c>
      <c r="H22" s="7">
        <v>0</v>
      </c>
      <c r="I22" s="7">
        <f t="shared" si="1"/>
        <v>4</v>
      </c>
      <c r="J22" s="6">
        <f t="shared" si="0"/>
        <v>0.00048249915261086324</v>
      </c>
    </row>
    <row r="23" spans="1:10" ht="15">
      <c r="A23" s="50"/>
      <c r="B23" s="33" t="s">
        <v>14</v>
      </c>
      <c r="C23" s="33"/>
      <c r="D23" s="13"/>
      <c r="E23" s="33"/>
      <c r="F23" s="5">
        <f>SUM(F11:F22)</f>
        <v>6516</v>
      </c>
      <c r="G23" s="5">
        <f>SUM(G11:G22)</f>
        <v>0</v>
      </c>
      <c r="H23" s="5">
        <f>SUM(H11:H22)</f>
        <v>0</v>
      </c>
      <c r="I23" s="5">
        <f>SUM(I11:I22)</f>
        <v>6516</v>
      </c>
      <c r="J23" s="6">
        <f t="shared" si="0"/>
        <v>0.7859911196030962</v>
      </c>
    </row>
    <row r="24" spans="1:10" ht="15">
      <c r="A24" s="1"/>
      <c r="B24" s="1"/>
      <c r="C24" s="1"/>
      <c r="D24" s="1"/>
      <c r="E24" s="1" t="s">
        <v>23</v>
      </c>
      <c r="F24" s="34">
        <f>F11+F13+F15+F17+F19+F21</f>
        <v>3564</v>
      </c>
      <c r="G24" s="34">
        <f>G11+G13+G15+G17</f>
        <v>0</v>
      </c>
      <c r="H24" s="34">
        <f>H11+H13+H15+H17</f>
        <v>0</v>
      </c>
      <c r="I24" s="34">
        <f>I11+I13+I15+I17+I19+I21</f>
        <v>3564</v>
      </c>
      <c r="J24" s="6">
        <f t="shared" si="0"/>
        <v>0.4299067449762791</v>
      </c>
    </row>
    <row r="25" spans="1:10" ht="15">
      <c r="A25" s="1"/>
      <c r="B25" s="1"/>
      <c r="C25" s="1"/>
      <c r="D25" s="1"/>
      <c r="E25" s="1" t="s">
        <v>22</v>
      </c>
      <c r="F25" s="15">
        <f>F12+F14+F16+F18+F20+F22</f>
        <v>2952</v>
      </c>
      <c r="G25" s="15">
        <f>G12+G14+G16+G18</f>
        <v>0</v>
      </c>
      <c r="H25" s="15">
        <f>H12+H14+H16+H18</f>
        <v>0</v>
      </c>
      <c r="I25" s="15">
        <f>I12+I14+I16+I18+I20+I22</f>
        <v>2952</v>
      </c>
      <c r="J25" s="6">
        <f t="shared" si="0"/>
        <v>0.3560843746268171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A11:A23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55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60.71+0.46+0.7+2.09+0.46</f>
        <v>64.42</v>
      </c>
      <c r="G7" s="32">
        <f>G8*0.0478</f>
        <v>31.32061062</v>
      </c>
      <c r="H7" s="28">
        <f>0.46+0.7+2.09+0.46</f>
        <v>3.71</v>
      </c>
      <c r="I7" s="7">
        <f>I8*0.0478</f>
        <v>1.19062152</v>
      </c>
      <c r="J7" s="6">
        <f aca="true" t="shared" si="0" ref="J7:J25">I7/8290.17</f>
        <v>0.0001436184686200645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728.29+4.97+7.64+22.93+4.97</f>
        <v>768.8</v>
      </c>
      <c r="G8" s="5">
        <f>203.06+33.72+418.4629</f>
        <v>655.2429</v>
      </c>
      <c r="H8" s="5">
        <f>4.97+7.64+22.93+4.97</f>
        <v>40.51</v>
      </c>
      <c r="I8" s="7">
        <v>24.9084</v>
      </c>
      <c r="J8" s="6">
        <f t="shared" si="0"/>
        <v>0.0030045704732231063</v>
      </c>
      <c r="L8" s="17"/>
    </row>
    <row r="9" spans="1:12" ht="15">
      <c r="A9" s="2">
        <v>3</v>
      </c>
      <c r="B9" s="3" t="s">
        <v>21</v>
      </c>
      <c r="C9" s="35" t="s">
        <v>56</v>
      </c>
      <c r="D9" s="8"/>
      <c r="E9" s="8"/>
      <c r="F9" s="5">
        <f>1111.218</f>
        <v>1111.218</v>
      </c>
      <c r="G9" s="5">
        <f>467.321+382.38+21.46</f>
        <v>871.1610000000001</v>
      </c>
      <c r="H9" s="5">
        <f>61</f>
        <v>61</v>
      </c>
      <c r="I9" s="7">
        <f>24.9084</f>
        <v>24.9084</v>
      </c>
      <c r="J9" s="6">
        <f t="shared" si="0"/>
        <v>0.0030045704732231063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1880.018</v>
      </c>
      <c r="G10" s="5">
        <f>818.2639+559.4+44.68+74.9+29.16</f>
        <v>1526.4039000000002</v>
      </c>
      <c r="H10" s="5">
        <f>H8+H9</f>
        <v>101.50999999999999</v>
      </c>
      <c r="I10" s="7">
        <v>0</v>
      </c>
      <c r="J10" s="6">
        <f t="shared" si="0"/>
        <v>0</v>
      </c>
    </row>
    <row r="11" spans="1:10" ht="15">
      <c r="A11" s="38">
        <v>5</v>
      </c>
      <c r="B11" s="3" t="s">
        <v>15</v>
      </c>
      <c r="C11" s="7"/>
      <c r="D11" s="11">
        <v>7187</v>
      </c>
      <c r="E11" s="11">
        <v>7237</v>
      </c>
      <c r="F11" s="6">
        <f>(E11-D11)*15</f>
        <v>750</v>
      </c>
      <c r="G11" s="7">
        <v>0</v>
      </c>
      <c r="H11" s="7">
        <v>0</v>
      </c>
      <c r="I11" s="7">
        <f aca="true" t="shared" si="1" ref="I11:I22">F11-G11-H11</f>
        <v>750</v>
      </c>
      <c r="J11" s="6">
        <f t="shared" si="0"/>
        <v>0.09046859111453685</v>
      </c>
    </row>
    <row r="12" spans="1:10" ht="15">
      <c r="A12" s="39"/>
      <c r="B12" s="3" t="s">
        <v>16</v>
      </c>
      <c r="C12" s="7"/>
      <c r="D12" s="11">
        <v>5196</v>
      </c>
      <c r="E12" s="11">
        <v>5232</v>
      </c>
      <c r="F12" s="6">
        <f>(E12-D12)*15</f>
        <v>540</v>
      </c>
      <c r="G12" s="7">
        <v>0</v>
      </c>
      <c r="H12" s="7">
        <v>0</v>
      </c>
      <c r="I12" s="7">
        <f t="shared" si="1"/>
        <v>540</v>
      </c>
      <c r="J12" s="6">
        <f t="shared" si="0"/>
        <v>0.06513738560246654</v>
      </c>
    </row>
    <row r="13" spans="1:10" ht="15">
      <c r="A13" s="39"/>
      <c r="B13" s="3" t="s">
        <v>17</v>
      </c>
      <c r="C13" s="7"/>
      <c r="D13" s="11">
        <v>5377</v>
      </c>
      <c r="E13" s="11">
        <v>5415</v>
      </c>
      <c r="F13" s="6">
        <f>(E13-D13)*10</f>
        <v>380</v>
      </c>
      <c r="G13" s="7">
        <v>0</v>
      </c>
      <c r="H13" s="7">
        <v>0</v>
      </c>
      <c r="I13" s="7">
        <f t="shared" si="1"/>
        <v>380</v>
      </c>
      <c r="J13" s="6">
        <f t="shared" si="0"/>
        <v>0.04583741949803201</v>
      </c>
    </row>
    <row r="14" spans="1:10" ht="15">
      <c r="A14" s="39"/>
      <c r="B14" s="3" t="s">
        <v>18</v>
      </c>
      <c r="C14" s="7"/>
      <c r="D14" s="11">
        <v>3938</v>
      </c>
      <c r="E14" s="11">
        <v>3965</v>
      </c>
      <c r="F14" s="6">
        <f>(E14-D14)*10</f>
        <v>270</v>
      </c>
      <c r="G14" s="7">
        <v>0</v>
      </c>
      <c r="H14" s="7">
        <v>0</v>
      </c>
      <c r="I14" s="7">
        <f t="shared" si="1"/>
        <v>270</v>
      </c>
      <c r="J14" s="6">
        <f t="shared" si="0"/>
        <v>0.03256869280123327</v>
      </c>
    </row>
    <row r="15" spans="1:10" ht="15">
      <c r="A15" s="39"/>
      <c r="B15" s="3" t="s">
        <v>41</v>
      </c>
      <c r="C15" s="7"/>
      <c r="D15" s="19">
        <v>3369</v>
      </c>
      <c r="E15" s="19">
        <v>4365</v>
      </c>
      <c r="F15" s="13">
        <f>(E15-D15)*1</f>
        <v>996</v>
      </c>
      <c r="G15" s="7">
        <v>0</v>
      </c>
      <c r="H15" s="7">
        <v>0</v>
      </c>
      <c r="I15" s="7">
        <f t="shared" si="1"/>
        <v>996</v>
      </c>
      <c r="J15" s="6">
        <f t="shared" si="0"/>
        <v>0.12014228900010494</v>
      </c>
    </row>
    <row r="16" spans="1:10" ht="15">
      <c r="A16" s="39"/>
      <c r="B16" s="3" t="s">
        <v>42</v>
      </c>
      <c r="C16" s="7"/>
      <c r="D16" s="19">
        <v>2153</v>
      </c>
      <c r="E16" s="19">
        <v>2742</v>
      </c>
      <c r="F16" s="13">
        <f>(E16-D16)*1</f>
        <v>589</v>
      </c>
      <c r="G16" s="7">
        <v>0</v>
      </c>
      <c r="H16" s="7">
        <v>0</v>
      </c>
      <c r="I16" s="7">
        <f t="shared" si="1"/>
        <v>589</v>
      </c>
      <c r="J16" s="6">
        <f t="shared" si="0"/>
        <v>0.07104800022194961</v>
      </c>
    </row>
    <row r="17" spans="1:12" ht="15">
      <c r="A17" s="39"/>
      <c r="B17" s="3" t="s">
        <v>43</v>
      </c>
      <c r="C17" s="7"/>
      <c r="D17" s="19">
        <v>994</v>
      </c>
      <c r="E17" s="19">
        <v>1221</v>
      </c>
      <c r="F17" s="13">
        <f>(E17-D17)*1</f>
        <v>227</v>
      </c>
      <c r="G17" s="7">
        <v>0</v>
      </c>
      <c r="H17" s="7">
        <v>0</v>
      </c>
      <c r="I17" s="7">
        <f t="shared" si="1"/>
        <v>227</v>
      </c>
      <c r="J17" s="6">
        <f t="shared" si="0"/>
        <v>0.027381826910666488</v>
      </c>
      <c r="K17" s="18"/>
      <c r="L17" s="17"/>
    </row>
    <row r="18" spans="1:12" ht="15">
      <c r="A18" s="39"/>
      <c r="B18" s="3" t="s">
        <v>44</v>
      </c>
      <c r="C18" s="7"/>
      <c r="D18" s="19">
        <v>1221</v>
      </c>
      <c r="E18" s="19">
        <v>1554</v>
      </c>
      <c r="F18" s="13">
        <f>(E18-D18)*1</f>
        <v>333</v>
      </c>
      <c r="G18" s="7">
        <v>0</v>
      </c>
      <c r="H18" s="7">
        <v>0</v>
      </c>
      <c r="I18" s="7">
        <f t="shared" si="1"/>
        <v>333</v>
      </c>
      <c r="J18" s="6">
        <f t="shared" si="0"/>
        <v>0.040168054454854364</v>
      </c>
      <c r="K18" s="18"/>
      <c r="L18" s="17"/>
    </row>
    <row r="19" spans="1:10" ht="15">
      <c r="A19" s="39"/>
      <c r="B19" s="3" t="s">
        <v>51</v>
      </c>
      <c r="C19" s="7"/>
      <c r="D19" s="19">
        <v>30014</v>
      </c>
      <c r="E19" s="19">
        <v>30270</v>
      </c>
      <c r="F19" s="13">
        <f>(E19-D19)*4</f>
        <v>1024</v>
      </c>
      <c r="G19" s="7">
        <v>0</v>
      </c>
      <c r="H19" s="7">
        <v>0</v>
      </c>
      <c r="I19" s="7">
        <f t="shared" si="1"/>
        <v>1024</v>
      </c>
      <c r="J19" s="6">
        <f t="shared" si="0"/>
        <v>0.12351978306838099</v>
      </c>
    </row>
    <row r="20" spans="1:10" ht="15">
      <c r="A20" s="39"/>
      <c r="B20" s="3" t="s">
        <v>52</v>
      </c>
      <c r="C20" s="7"/>
      <c r="D20" s="19">
        <v>31935</v>
      </c>
      <c r="E20" s="19">
        <v>32185</v>
      </c>
      <c r="F20" s="13">
        <f>(E20-D20)*4</f>
        <v>1000</v>
      </c>
      <c r="G20" s="7">
        <v>0</v>
      </c>
      <c r="H20" s="7">
        <v>0</v>
      </c>
      <c r="I20" s="7">
        <f t="shared" si="1"/>
        <v>1000</v>
      </c>
      <c r="J20" s="6">
        <f t="shared" si="0"/>
        <v>0.12062478815271581</v>
      </c>
    </row>
    <row r="21" spans="1:10" ht="15">
      <c r="A21" s="39"/>
      <c r="B21" s="3" t="s">
        <v>53</v>
      </c>
      <c r="C21" s="7"/>
      <c r="D21" s="19">
        <v>3784</v>
      </c>
      <c r="E21" s="19">
        <v>3825</v>
      </c>
      <c r="F21" s="13">
        <f>(E21-D21)*4</f>
        <v>164</v>
      </c>
      <c r="G21" s="7">
        <v>0</v>
      </c>
      <c r="H21" s="7">
        <v>0</v>
      </c>
      <c r="I21" s="7">
        <f t="shared" si="1"/>
        <v>164</v>
      </c>
      <c r="J21" s="6">
        <f t="shared" si="0"/>
        <v>0.01978246525704539</v>
      </c>
    </row>
    <row r="22" spans="1:10" ht="15">
      <c r="A22" s="39"/>
      <c r="B22" s="3" t="s">
        <v>54</v>
      </c>
      <c r="C22" s="7"/>
      <c r="D22" s="19">
        <v>1331</v>
      </c>
      <c r="E22" s="19">
        <v>1334</v>
      </c>
      <c r="F22" s="13">
        <f>(E22-D22)*4</f>
        <v>12</v>
      </c>
      <c r="G22" s="7">
        <v>0</v>
      </c>
      <c r="H22" s="7">
        <v>0</v>
      </c>
      <c r="I22" s="7">
        <f t="shared" si="1"/>
        <v>12</v>
      </c>
      <c r="J22" s="6">
        <f t="shared" si="0"/>
        <v>0.0014474974578325896</v>
      </c>
    </row>
    <row r="23" spans="1:10" ht="15">
      <c r="A23" s="50"/>
      <c r="B23" s="33" t="s">
        <v>14</v>
      </c>
      <c r="C23" s="33"/>
      <c r="D23" s="13"/>
      <c r="E23" s="33"/>
      <c r="F23" s="5">
        <f>SUM(F11:F22)</f>
        <v>6285</v>
      </c>
      <c r="G23" s="5">
        <f>SUM(G11:G22)</f>
        <v>0</v>
      </c>
      <c r="H23" s="5">
        <f>SUM(H11:H22)</f>
        <v>0</v>
      </c>
      <c r="I23" s="5">
        <f>SUM(I11:I22)</f>
        <v>6285</v>
      </c>
      <c r="J23" s="6">
        <f t="shared" si="0"/>
        <v>0.7581267935398188</v>
      </c>
    </row>
    <row r="24" spans="1:10" ht="15">
      <c r="A24" s="1"/>
      <c r="B24" s="1"/>
      <c r="C24" s="1"/>
      <c r="D24" s="1"/>
      <c r="E24" s="1" t="s">
        <v>23</v>
      </c>
      <c r="F24" s="34">
        <f>F11+F13+F15+F17+F19+F21</f>
        <v>3541</v>
      </c>
      <c r="G24" s="34">
        <f>G11+G13+G15+G17</f>
        <v>0</v>
      </c>
      <c r="H24" s="34">
        <f>H11+H13+H15+H17</f>
        <v>0</v>
      </c>
      <c r="I24" s="34">
        <f>I11+I13+I15+I17+I19+I21</f>
        <v>3541</v>
      </c>
      <c r="J24" s="6">
        <f t="shared" si="0"/>
        <v>0.42713237484876665</v>
      </c>
    </row>
    <row r="25" spans="1:10" ht="15">
      <c r="A25" s="1"/>
      <c r="B25" s="1"/>
      <c r="C25" s="1"/>
      <c r="D25" s="1"/>
      <c r="E25" s="1" t="s">
        <v>22</v>
      </c>
      <c r="F25" s="15">
        <f>F12+F14+F16+F18+F20+F22</f>
        <v>2744</v>
      </c>
      <c r="G25" s="15">
        <f>G12+G14+G16+G18</f>
        <v>0</v>
      </c>
      <c r="H25" s="15">
        <f>H12+H14+H16+H18</f>
        <v>0</v>
      </c>
      <c r="I25" s="15">
        <f>I12+I14+I16+I18+I20+I22</f>
        <v>2744</v>
      </c>
      <c r="J25" s="6">
        <f t="shared" si="0"/>
        <v>0.3309944186910522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11:A23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0"/>
  <sheetViews>
    <sheetView tabSelected="1"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J4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58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64.28+0.49+0.74+2.21+0.49</f>
        <v>68.20999999999998</v>
      </c>
      <c r="G7" s="32">
        <f>G8*0.0478</f>
        <v>32.937068000000004</v>
      </c>
      <c r="H7" s="28">
        <f>0.49+0.74+2.21+0.49</f>
        <v>3.9299999999999997</v>
      </c>
      <c r="I7" s="7">
        <f>24.9084*0.0478</f>
        <v>1.19062152</v>
      </c>
      <c r="J7" s="6">
        <f aca="true" t="shared" si="0" ref="J7:J25">I7/8290.17</f>
        <v>0.0001436184686200645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713.89+4.87+7.49+22.48+4.87</f>
        <v>753.6</v>
      </c>
      <c r="G8" s="5">
        <f>421.05+254.28+13.73</f>
        <v>689.0600000000001</v>
      </c>
      <c r="H8" s="5">
        <f>4.87+7.49+22.48+4.87</f>
        <v>39.71</v>
      </c>
      <c r="I8" s="7">
        <f>F8-G8-H8</f>
        <v>24.829999999999963</v>
      </c>
      <c r="J8" s="6">
        <f t="shared" si="0"/>
        <v>0.002995113489831929</v>
      </c>
      <c r="L8" s="17"/>
    </row>
    <row r="9" spans="1:12" ht="15">
      <c r="A9" s="2">
        <v>3</v>
      </c>
      <c r="B9" s="3" t="s">
        <v>21</v>
      </c>
      <c r="C9" s="35" t="s">
        <v>57</v>
      </c>
      <c r="D9" s="8"/>
      <c r="E9" s="8"/>
      <c r="F9" s="5">
        <v>1173.159</v>
      </c>
      <c r="G9" s="5">
        <f>475.3+340.14+25.97</f>
        <v>841.4100000000001</v>
      </c>
      <c r="H9" s="5">
        <f>42</f>
        <v>42</v>
      </c>
      <c r="I9" s="7">
        <v>24.9084</v>
      </c>
      <c r="J9" s="6">
        <f t="shared" si="0"/>
        <v>0.0030045704732231063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1926.759</v>
      </c>
      <c r="G10" s="5">
        <f>832.84+562.05+27.15+76.42+0.15+31.86</f>
        <v>1530.47</v>
      </c>
      <c r="H10" s="5">
        <f>H8+H9</f>
        <v>81.71000000000001</v>
      </c>
      <c r="I10" s="7">
        <v>0</v>
      </c>
      <c r="J10" s="6">
        <f t="shared" si="0"/>
        <v>0</v>
      </c>
    </row>
    <row r="11" spans="1:10" ht="15">
      <c r="A11" s="38">
        <v>5</v>
      </c>
      <c r="B11" s="3" t="s">
        <v>15</v>
      </c>
      <c r="C11" s="7"/>
      <c r="D11" s="11">
        <v>7237</v>
      </c>
      <c r="E11" s="11">
        <v>7275</v>
      </c>
      <c r="F11" s="6">
        <f>(E11-D11)*15</f>
        <v>570</v>
      </c>
      <c r="G11" s="7">
        <v>0</v>
      </c>
      <c r="H11" s="7">
        <v>0</v>
      </c>
      <c r="I11" s="7">
        <f aca="true" t="shared" si="1" ref="I11:I22">F11-G11-H11</f>
        <v>570</v>
      </c>
      <c r="J11" s="6">
        <f t="shared" si="0"/>
        <v>0.068756129247048</v>
      </c>
    </row>
    <row r="12" spans="1:10" ht="15">
      <c r="A12" s="39"/>
      <c r="B12" s="3" t="s">
        <v>16</v>
      </c>
      <c r="C12" s="7"/>
      <c r="D12" s="11">
        <v>5232</v>
      </c>
      <c r="E12" s="11">
        <v>5259</v>
      </c>
      <c r="F12" s="6">
        <f>(E12-D12)*15</f>
        <v>405</v>
      </c>
      <c r="G12" s="7">
        <v>0</v>
      </c>
      <c r="H12" s="7">
        <v>0</v>
      </c>
      <c r="I12" s="7">
        <f t="shared" si="1"/>
        <v>405</v>
      </c>
      <c r="J12" s="6">
        <f t="shared" si="0"/>
        <v>0.0488530392018499</v>
      </c>
    </row>
    <row r="13" spans="1:10" ht="15">
      <c r="A13" s="39"/>
      <c r="B13" s="3" t="s">
        <v>17</v>
      </c>
      <c r="C13" s="7"/>
      <c r="D13" s="11">
        <v>5415</v>
      </c>
      <c r="E13" s="11">
        <v>5445</v>
      </c>
      <c r="F13" s="6">
        <f>(E13-D13)*10</f>
        <v>300</v>
      </c>
      <c r="G13" s="7">
        <v>0</v>
      </c>
      <c r="H13" s="7">
        <v>0</v>
      </c>
      <c r="I13" s="7">
        <f t="shared" si="1"/>
        <v>300</v>
      </c>
      <c r="J13" s="6">
        <f t="shared" si="0"/>
        <v>0.03618743644581474</v>
      </c>
    </row>
    <row r="14" spans="1:10" ht="15">
      <c r="A14" s="39"/>
      <c r="B14" s="3" t="s">
        <v>18</v>
      </c>
      <c r="C14" s="7"/>
      <c r="D14" s="11">
        <v>3965</v>
      </c>
      <c r="E14" s="11">
        <v>3987</v>
      </c>
      <c r="F14" s="6">
        <f>(E14-D14)*10</f>
        <v>220</v>
      </c>
      <c r="G14" s="7">
        <v>0</v>
      </c>
      <c r="H14" s="7">
        <v>0</v>
      </c>
      <c r="I14" s="7">
        <f t="shared" si="1"/>
        <v>220</v>
      </c>
      <c r="J14" s="6">
        <f t="shared" si="0"/>
        <v>0.026537453393597477</v>
      </c>
    </row>
    <row r="15" spans="1:10" ht="15">
      <c r="A15" s="39"/>
      <c r="B15" s="3" t="s">
        <v>41</v>
      </c>
      <c r="C15" s="7"/>
      <c r="D15" s="19">
        <v>4365</v>
      </c>
      <c r="E15" s="19">
        <v>5122</v>
      </c>
      <c r="F15" s="13">
        <f>(E15-D15)*1</f>
        <v>757</v>
      </c>
      <c r="G15" s="7">
        <v>0</v>
      </c>
      <c r="H15" s="7">
        <v>0</v>
      </c>
      <c r="I15" s="7">
        <f t="shared" si="1"/>
        <v>757</v>
      </c>
      <c r="J15" s="6">
        <f t="shared" si="0"/>
        <v>0.09131296463160586</v>
      </c>
    </row>
    <row r="16" spans="1:10" ht="15">
      <c r="A16" s="39"/>
      <c r="B16" s="3" t="s">
        <v>42</v>
      </c>
      <c r="C16" s="7"/>
      <c r="D16" s="19">
        <v>2742</v>
      </c>
      <c r="E16" s="19">
        <v>3179</v>
      </c>
      <c r="F16" s="13">
        <f>(E16-D16)*1</f>
        <v>437</v>
      </c>
      <c r="G16" s="7">
        <v>0</v>
      </c>
      <c r="H16" s="7">
        <v>0</v>
      </c>
      <c r="I16" s="7">
        <f t="shared" si="1"/>
        <v>437</v>
      </c>
      <c r="J16" s="6">
        <f t="shared" si="0"/>
        <v>0.052713032422736804</v>
      </c>
    </row>
    <row r="17" spans="1:12" ht="15">
      <c r="A17" s="39"/>
      <c r="B17" s="3" t="s">
        <v>43</v>
      </c>
      <c r="C17" s="7"/>
      <c r="D17" s="19">
        <v>1221</v>
      </c>
      <c r="E17" s="19">
        <v>1404</v>
      </c>
      <c r="F17" s="13">
        <f>(E17-D17)*1</f>
        <v>183</v>
      </c>
      <c r="G17" s="7">
        <v>0</v>
      </c>
      <c r="H17" s="7">
        <v>0</v>
      </c>
      <c r="I17" s="7">
        <f t="shared" si="1"/>
        <v>183</v>
      </c>
      <c r="J17" s="6">
        <f t="shared" si="0"/>
        <v>0.022074336231946993</v>
      </c>
      <c r="K17" s="18"/>
      <c r="L17" s="17"/>
    </row>
    <row r="18" spans="1:12" ht="15">
      <c r="A18" s="39"/>
      <c r="B18" s="3" t="s">
        <v>44</v>
      </c>
      <c r="C18" s="7"/>
      <c r="D18" s="19">
        <v>1554</v>
      </c>
      <c r="E18" s="19">
        <v>1789</v>
      </c>
      <c r="F18" s="13">
        <f>(E18-D18)*1</f>
        <v>235</v>
      </c>
      <c r="G18" s="7">
        <v>0</v>
      </c>
      <c r="H18" s="7">
        <v>0</v>
      </c>
      <c r="I18" s="7">
        <f t="shared" si="1"/>
        <v>235</v>
      </c>
      <c r="J18" s="6">
        <f t="shared" si="0"/>
        <v>0.028346825215888213</v>
      </c>
      <c r="K18" s="18"/>
      <c r="L18" s="17"/>
    </row>
    <row r="19" spans="1:10" ht="15">
      <c r="A19" s="39"/>
      <c r="B19" s="3" t="s">
        <v>51</v>
      </c>
      <c r="C19" s="7"/>
      <c r="D19" s="19">
        <v>30270</v>
      </c>
      <c r="E19" s="19">
        <v>30445</v>
      </c>
      <c r="F19" s="13">
        <f>(E19-D19)*4</f>
        <v>700</v>
      </c>
      <c r="G19" s="7">
        <v>0</v>
      </c>
      <c r="H19" s="7">
        <v>0</v>
      </c>
      <c r="I19" s="7">
        <f t="shared" si="1"/>
        <v>700</v>
      </c>
      <c r="J19" s="6">
        <f t="shared" si="0"/>
        <v>0.08443735170690106</v>
      </c>
    </row>
    <row r="20" spans="1:10" ht="15">
      <c r="A20" s="39"/>
      <c r="B20" s="3" t="s">
        <v>52</v>
      </c>
      <c r="C20" s="7"/>
      <c r="D20" s="19">
        <v>32185</v>
      </c>
      <c r="E20" s="19">
        <v>32347</v>
      </c>
      <c r="F20" s="13">
        <f>(E20-D20)*4</f>
        <v>648</v>
      </c>
      <c r="G20" s="7">
        <v>0</v>
      </c>
      <c r="H20" s="7">
        <v>0</v>
      </c>
      <c r="I20" s="7">
        <f t="shared" si="1"/>
        <v>648</v>
      </c>
      <c r="J20" s="6">
        <f t="shared" si="0"/>
        <v>0.07816486272295985</v>
      </c>
    </row>
    <row r="21" spans="1:10" ht="15">
      <c r="A21" s="39"/>
      <c r="B21" s="3" t="s">
        <v>53</v>
      </c>
      <c r="C21" s="7"/>
      <c r="D21" s="19">
        <v>3825</v>
      </c>
      <c r="E21" s="19">
        <v>3856</v>
      </c>
      <c r="F21" s="13">
        <f>(E21-D21)*4</f>
        <v>124</v>
      </c>
      <c r="G21" s="7">
        <v>0</v>
      </c>
      <c r="H21" s="7">
        <v>0</v>
      </c>
      <c r="I21" s="7">
        <f t="shared" si="1"/>
        <v>124</v>
      </c>
      <c r="J21" s="6">
        <f t="shared" si="0"/>
        <v>0.01495747373093676</v>
      </c>
    </row>
    <row r="22" spans="1:10" ht="15">
      <c r="A22" s="39"/>
      <c r="B22" s="3" t="s">
        <v>54</v>
      </c>
      <c r="C22" s="7"/>
      <c r="D22" s="19"/>
      <c r="E22" s="19"/>
      <c r="F22" s="13">
        <f>(E22-D22)*4</f>
        <v>0</v>
      </c>
      <c r="G22" s="7">
        <v>0</v>
      </c>
      <c r="H22" s="7">
        <v>0</v>
      </c>
      <c r="I22" s="7">
        <f t="shared" si="1"/>
        <v>0</v>
      </c>
      <c r="J22" s="6">
        <f t="shared" si="0"/>
        <v>0</v>
      </c>
    </row>
    <row r="23" spans="1:10" ht="15">
      <c r="A23" s="50"/>
      <c r="B23" s="33" t="s">
        <v>14</v>
      </c>
      <c r="C23" s="33"/>
      <c r="D23" s="13"/>
      <c r="E23" s="33"/>
      <c r="F23" s="5">
        <f>SUM(F11:F22)</f>
        <v>4579</v>
      </c>
      <c r="G23" s="5">
        <f>SUM(G11:G22)</f>
        <v>0</v>
      </c>
      <c r="H23" s="5">
        <f>SUM(H11:H22)</f>
        <v>0</v>
      </c>
      <c r="I23" s="5">
        <f>SUM(I11:I22)</f>
        <v>4579</v>
      </c>
      <c r="J23" s="6">
        <f t="shared" si="0"/>
        <v>0.5523409049512856</v>
      </c>
    </row>
    <row r="24" spans="1:10" ht="15">
      <c r="A24" s="1"/>
      <c r="B24" s="1"/>
      <c r="C24" s="1"/>
      <c r="D24" s="1"/>
      <c r="E24" s="1" t="s">
        <v>23</v>
      </c>
      <c r="F24" s="34">
        <f>F11+F13+F15+F17+F19+F21</f>
        <v>2634</v>
      </c>
      <c r="G24" s="34">
        <f>G11+G13+G15+G17</f>
        <v>0</v>
      </c>
      <c r="H24" s="34">
        <f>H11+H13+H15+H17</f>
        <v>0</v>
      </c>
      <c r="I24" s="34">
        <f>I11+I13+I15+I17+I19+I21</f>
        <v>2634</v>
      </c>
      <c r="J24" s="6">
        <f t="shared" si="0"/>
        <v>0.31772569199425343</v>
      </c>
    </row>
    <row r="25" spans="1:10" ht="15">
      <c r="A25" s="1"/>
      <c r="B25" s="1"/>
      <c r="C25" s="1"/>
      <c r="D25" s="1"/>
      <c r="E25" s="1" t="s">
        <v>22</v>
      </c>
      <c r="F25" s="15">
        <f>F12+F14+F16+F18+F20+F22</f>
        <v>1945</v>
      </c>
      <c r="G25" s="15">
        <f>G12+G14+G16+G18</f>
        <v>0</v>
      </c>
      <c r="H25" s="15">
        <f>H12+H14+H16+H18</f>
        <v>0</v>
      </c>
      <c r="I25" s="15">
        <f>I12+I14+I16+I18+I20+I22</f>
        <v>1945</v>
      </c>
      <c r="J25" s="6">
        <f t="shared" si="0"/>
        <v>0.23461521295703225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I5:I6"/>
    <mergeCell ref="A11:A23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5" sqref="F1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9" t="s">
        <v>26</v>
      </c>
    </row>
    <row r="4" spans="1:10" ht="15">
      <c r="A4" s="42" t="s">
        <v>8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90" customHeight="1">
      <c r="A5" s="36" t="s">
        <v>0</v>
      </c>
      <c r="B5" s="40" t="s">
        <v>1</v>
      </c>
      <c r="C5" s="36" t="s">
        <v>2</v>
      </c>
      <c r="D5" s="45" t="s">
        <v>7</v>
      </c>
      <c r="E5" s="46"/>
      <c r="F5" s="36" t="s">
        <v>11</v>
      </c>
      <c r="G5" s="36" t="s">
        <v>3</v>
      </c>
      <c r="H5" s="36" t="s">
        <v>4</v>
      </c>
      <c r="I5" s="36" t="s">
        <v>5</v>
      </c>
      <c r="J5" s="40" t="s">
        <v>6</v>
      </c>
    </row>
    <row r="6" spans="1:10" ht="21.75" customHeight="1">
      <c r="A6" s="37"/>
      <c r="B6" s="41"/>
      <c r="C6" s="37"/>
      <c r="D6" s="10" t="s">
        <v>12</v>
      </c>
      <c r="E6" s="4" t="s">
        <v>13</v>
      </c>
      <c r="F6" s="37"/>
      <c r="G6" s="37"/>
      <c r="H6" s="37"/>
      <c r="I6" s="37"/>
      <c r="J6" s="41"/>
    </row>
    <row r="7" spans="1:12" ht="15">
      <c r="A7" s="2">
        <v>1</v>
      </c>
      <c r="B7" s="3" t="s">
        <v>9</v>
      </c>
      <c r="C7" s="6"/>
      <c r="D7" s="8"/>
      <c r="E7" s="8"/>
      <c r="F7" s="6">
        <f>613.93+6.45+19.34+4.19+4.19</f>
        <v>648.1000000000001</v>
      </c>
      <c r="G7" s="5">
        <f>482.2348+270.318+45.57</f>
        <v>798.1228</v>
      </c>
      <c r="H7" s="5">
        <f>6.45+19.34+4.19+4.19</f>
        <v>34.17</v>
      </c>
      <c r="I7" s="7">
        <f aca="true" t="shared" si="0" ref="I7:I15">F7-G7-H7</f>
        <v>-184.19279999999986</v>
      </c>
      <c r="J7" s="6">
        <f>I7/8323.07</f>
        <v>-0.0221303917905292</v>
      </c>
      <c r="L7" s="17"/>
    </row>
    <row r="8" spans="1:12" ht="15">
      <c r="A8" s="2">
        <v>2</v>
      </c>
      <c r="B8" s="3" t="s">
        <v>21</v>
      </c>
      <c r="C8" s="7" t="s">
        <v>27</v>
      </c>
      <c r="D8" s="8"/>
      <c r="E8" s="8"/>
      <c r="F8" s="5">
        <v>1070.97</v>
      </c>
      <c r="G8" s="5">
        <f>515.3516+370.944+0.6</f>
        <v>886.8956</v>
      </c>
      <c r="H8" s="5">
        <v>104</v>
      </c>
      <c r="I8" s="7">
        <f t="shared" si="0"/>
        <v>80.07440000000008</v>
      </c>
      <c r="J8" s="6">
        <f aca="true" t="shared" si="1" ref="J8:J18">I8/8323.07</f>
        <v>0.009620776948890264</v>
      </c>
      <c r="L8" s="17"/>
    </row>
    <row r="9" spans="1:12" ht="15">
      <c r="A9" s="2">
        <v>3</v>
      </c>
      <c r="B9" s="3" t="s">
        <v>10</v>
      </c>
      <c r="C9" s="7"/>
      <c r="D9" s="8"/>
      <c r="E9" s="8"/>
      <c r="F9" s="5">
        <f>F7+F8</f>
        <v>1719.0700000000002</v>
      </c>
      <c r="G9" s="5">
        <f>941.4465+597.392+39.82+105.76+0.6</f>
        <v>1685.0185</v>
      </c>
      <c r="H9" s="5">
        <f>H7+H8</f>
        <v>138.17000000000002</v>
      </c>
      <c r="I9" s="7">
        <f t="shared" si="0"/>
        <v>-104.11849999999976</v>
      </c>
      <c r="J9" s="6">
        <f t="shared" si="1"/>
        <v>-0.012509626856436359</v>
      </c>
      <c r="L9" s="17"/>
    </row>
    <row r="10" spans="1:10" ht="15">
      <c r="A10" s="38">
        <v>4</v>
      </c>
      <c r="B10" s="3" t="s">
        <v>15</v>
      </c>
      <c r="C10" s="7"/>
      <c r="D10" s="11">
        <v>6711</v>
      </c>
      <c r="E10" s="11">
        <v>6768</v>
      </c>
      <c r="F10" s="6">
        <f>(E10-D10)*15</f>
        <v>855</v>
      </c>
      <c r="G10" s="7">
        <v>0</v>
      </c>
      <c r="H10" s="7">
        <v>0</v>
      </c>
      <c r="I10" s="7">
        <f t="shared" si="0"/>
        <v>855</v>
      </c>
      <c r="J10" s="6">
        <f t="shared" si="1"/>
        <v>0.10272651797954362</v>
      </c>
    </row>
    <row r="11" spans="1:10" ht="15">
      <c r="A11" s="39"/>
      <c r="B11" s="3" t="s">
        <v>16</v>
      </c>
      <c r="C11" s="7"/>
      <c r="D11" s="11">
        <v>4860</v>
      </c>
      <c r="E11" s="11">
        <v>4897</v>
      </c>
      <c r="F11" s="6">
        <f>(E11-D11)*15</f>
        <v>555</v>
      </c>
      <c r="G11" s="7">
        <v>0</v>
      </c>
      <c r="H11" s="7">
        <v>0</v>
      </c>
      <c r="I11" s="7">
        <f t="shared" si="0"/>
        <v>555</v>
      </c>
      <c r="J11" s="6">
        <f t="shared" si="1"/>
        <v>0.06668212570601953</v>
      </c>
    </row>
    <row r="12" spans="1:10" ht="15">
      <c r="A12" s="39"/>
      <c r="B12" s="3" t="s">
        <v>17</v>
      </c>
      <c r="C12" s="7"/>
      <c r="D12" s="11">
        <v>5053</v>
      </c>
      <c r="E12" s="11">
        <v>5090</v>
      </c>
      <c r="F12" s="6">
        <f>(E12-D12)*10</f>
        <v>370</v>
      </c>
      <c r="G12" s="7">
        <v>0</v>
      </c>
      <c r="H12" s="7">
        <v>0</v>
      </c>
      <c r="I12" s="7">
        <f t="shared" si="0"/>
        <v>370</v>
      </c>
      <c r="J12" s="6">
        <f t="shared" si="1"/>
        <v>0.04445475047067969</v>
      </c>
    </row>
    <row r="13" spans="1:10" ht="15">
      <c r="A13" s="39"/>
      <c r="B13" s="3" t="s">
        <v>18</v>
      </c>
      <c r="C13" s="7"/>
      <c r="D13" s="11">
        <v>3699</v>
      </c>
      <c r="E13" s="11">
        <v>3728</v>
      </c>
      <c r="F13" s="6">
        <f>(E13-D13)*10</f>
        <v>290</v>
      </c>
      <c r="G13" s="7">
        <v>0</v>
      </c>
      <c r="H13" s="7">
        <v>0</v>
      </c>
      <c r="I13" s="7">
        <f t="shared" si="0"/>
        <v>290</v>
      </c>
      <c r="J13" s="6">
        <f t="shared" si="1"/>
        <v>0.03484291253107327</v>
      </c>
    </row>
    <row r="14" spans="1:10" ht="15">
      <c r="A14" s="39"/>
      <c r="B14" s="3" t="s">
        <v>19</v>
      </c>
      <c r="C14" s="7"/>
      <c r="D14" s="19"/>
      <c r="E14" s="19"/>
      <c r="F14" s="13">
        <f>(E14-D14)*10</f>
        <v>0</v>
      </c>
      <c r="G14" s="7">
        <v>0</v>
      </c>
      <c r="H14" s="7">
        <v>0</v>
      </c>
      <c r="I14" s="7">
        <f t="shared" si="0"/>
        <v>0</v>
      </c>
      <c r="J14" s="6">
        <f t="shared" si="1"/>
        <v>0</v>
      </c>
    </row>
    <row r="15" spans="1:10" ht="15">
      <c r="A15" s="39"/>
      <c r="B15" s="3" t="s">
        <v>20</v>
      </c>
      <c r="C15" s="7"/>
      <c r="D15" s="19"/>
      <c r="E15" s="19"/>
      <c r="F15" s="13">
        <f>(E15-D15)*15</f>
        <v>0</v>
      </c>
      <c r="G15" s="7">
        <v>0</v>
      </c>
      <c r="H15" s="7">
        <v>0</v>
      </c>
      <c r="I15" s="7">
        <f t="shared" si="0"/>
        <v>0</v>
      </c>
      <c r="J15" s="6">
        <f t="shared" si="1"/>
        <v>0</v>
      </c>
    </row>
    <row r="16" spans="1:10" ht="15">
      <c r="A16" s="12"/>
      <c r="B16" s="12" t="s">
        <v>14</v>
      </c>
      <c r="C16" s="12"/>
      <c r="D16" s="13"/>
      <c r="E16" s="12"/>
      <c r="F16" s="14">
        <f>SUM(F10:F15)</f>
        <v>2070</v>
      </c>
      <c r="G16" s="14">
        <f>SUM(G10:G15)</f>
        <v>0</v>
      </c>
      <c r="H16" s="14">
        <f>SUM(H10:H15)</f>
        <v>0</v>
      </c>
      <c r="I16" s="14">
        <f>SUM(I10:I15)</f>
        <v>2070</v>
      </c>
      <c r="J16" s="6">
        <f t="shared" si="1"/>
        <v>0.2487063066873161</v>
      </c>
    </row>
    <row r="17" spans="1:12" ht="15">
      <c r="A17" s="1"/>
      <c r="B17" s="1"/>
      <c r="C17" s="1"/>
      <c r="D17" s="1"/>
      <c r="E17" s="1" t="s">
        <v>23</v>
      </c>
      <c r="F17" s="16">
        <f>F10+F12+F14+F15</f>
        <v>1225</v>
      </c>
      <c r="G17" s="16">
        <f>G10+G12+G14+G15</f>
        <v>0</v>
      </c>
      <c r="H17" s="16">
        <f>H10+H12+H14+H15</f>
        <v>0</v>
      </c>
      <c r="I17" s="16">
        <f>I10+I12+I14+I15</f>
        <v>1225</v>
      </c>
      <c r="J17" s="6">
        <f t="shared" si="1"/>
        <v>0.1471812684502233</v>
      </c>
      <c r="K17" s="18"/>
      <c r="L17" s="17"/>
    </row>
    <row r="18" spans="1:12" ht="15">
      <c r="A18" s="1"/>
      <c r="B18" s="1"/>
      <c r="C18" s="1"/>
      <c r="D18" s="1"/>
      <c r="E18" s="1" t="s">
        <v>22</v>
      </c>
      <c r="F18" s="15">
        <f>F11+F13</f>
        <v>845</v>
      </c>
      <c r="G18" s="15">
        <f>G11+G13</f>
        <v>0</v>
      </c>
      <c r="H18" s="15">
        <f>H11+H13</f>
        <v>0</v>
      </c>
      <c r="I18" s="15">
        <f>I11+I13</f>
        <v>845</v>
      </c>
      <c r="J18" s="6">
        <f t="shared" si="1"/>
        <v>0.1015250382370928</v>
      </c>
      <c r="K18" s="18"/>
      <c r="L18" s="17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10:A15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15" sqref="J1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9" t="s">
        <v>28</v>
      </c>
    </row>
    <row r="4" spans="1:10" ht="15">
      <c r="A4" s="42" t="s">
        <v>8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90" customHeight="1">
      <c r="A5" s="36" t="s">
        <v>0</v>
      </c>
      <c r="B5" s="40" t="s">
        <v>1</v>
      </c>
      <c r="C5" s="36" t="s">
        <v>2</v>
      </c>
      <c r="D5" s="45" t="s">
        <v>7</v>
      </c>
      <c r="E5" s="46"/>
      <c r="F5" s="36" t="s">
        <v>11</v>
      </c>
      <c r="G5" s="36" t="s">
        <v>3</v>
      </c>
      <c r="H5" s="36" t="s">
        <v>4</v>
      </c>
      <c r="I5" s="36" t="s">
        <v>5</v>
      </c>
      <c r="J5" s="40" t="s">
        <v>6</v>
      </c>
    </row>
    <row r="6" spans="1:10" ht="21.75" customHeight="1">
      <c r="A6" s="37"/>
      <c r="B6" s="41"/>
      <c r="C6" s="37"/>
      <c r="D6" s="10" t="s">
        <v>12</v>
      </c>
      <c r="E6" s="4" t="s">
        <v>13</v>
      </c>
      <c r="F6" s="37"/>
      <c r="G6" s="37"/>
      <c r="H6" s="37"/>
      <c r="I6" s="37"/>
      <c r="J6" s="41"/>
    </row>
    <row r="7" spans="1:12" ht="15">
      <c r="A7" s="2">
        <v>1</v>
      </c>
      <c r="B7" s="3" t="s">
        <v>9</v>
      </c>
      <c r="C7" s="6"/>
      <c r="D7" s="8"/>
      <c r="E7" s="8"/>
      <c r="F7" s="6">
        <f>652.5+6.85+20.55+4.45+4.45</f>
        <v>688.8000000000001</v>
      </c>
      <c r="G7" s="5">
        <f>477.19+196.942</f>
        <v>674.1320000000001</v>
      </c>
      <c r="H7" s="5">
        <f>6.85+20.55+4.45+4.45</f>
        <v>36.3</v>
      </c>
      <c r="I7" s="7">
        <f aca="true" t="shared" si="0" ref="I7:I15">F7-G7-H7</f>
        <v>-21.63199999999999</v>
      </c>
      <c r="J7" s="6">
        <f>I7/8321.37</f>
        <v>-0.0025995719454849366</v>
      </c>
      <c r="L7" s="17"/>
    </row>
    <row r="8" spans="1:12" ht="15">
      <c r="A8" s="2">
        <v>2</v>
      </c>
      <c r="B8" s="3" t="s">
        <v>21</v>
      </c>
      <c r="C8" s="7" t="s">
        <v>29</v>
      </c>
      <c r="D8" s="8"/>
      <c r="E8" s="8"/>
      <c r="F8" s="5">
        <v>951.234</v>
      </c>
      <c r="G8" s="5">
        <f>504.4+333.304+1.28</f>
        <v>838.9839999999999</v>
      </c>
      <c r="H8" s="5">
        <v>45</v>
      </c>
      <c r="I8" s="7">
        <f t="shared" si="0"/>
        <v>67.25000000000011</v>
      </c>
      <c r="J8" s="6">
        <f aca="true" t="shared" si="1" ref="J8:J18">I8/8321.37</f>
        <v>0.008081601947756211</v>
      </c>
      <c r="L8" s="17"/>
    </row>
    <row r="9" spans="1:12" ht="15">
      <c r="A9" s="2">
        <v>3</v>
      </c>
      <c r="B9" s="3" t="s">
        <v>10</v>
      </c>
      <c r="C9" s="7"/>
      <c r="D9" s="8"/>
      <c r="E9" s="8"/>
      <c r="F9" s="5">
        <f>F7+F8</f>
        <v>1640.034</v>
      </c>
      <c r="G9" s="5">
        <f>921.44+470.776+120.9</f>
        <v>1513.1160000000002</v>
      </c>
      <c r="H9" s="5">
        <f>H7+H8</f>
        <v>81.3</v>
      </c>
      <c r="I9" s="7">
        <f t="shared" si="0"/>
        <v>45.617999999999896</v>
      </c>
      <c r="J9" s="6">
        <f t="shared" si="1"/>
        <v>0.005482030002271247</v>
      </c>
      <c r="L9" s="17"/>
    </row>
    <row r="10" spans="1:10" ht="15">
      <c r="A10" s="38">
        <v>4</v>
      </c>
      <c r="B10" s="3" t="s">
        <v>15</v>
      </c>
      <c r="C10" s="7"/>
      <c r="D10" s="11">
        <v>6768</v>
      </c>
      <c r="E10" s="11">
        <v>6811</v>
      </c>
      <c r="F10" s="6">
        <f>(E10-D10)*15</f>
        <v>645</v>
      </c>
      <c r="G10" s="7">
        <v>0</v>
      </c>
      <c r="H10" s="7">
        <v>0</v>
      </c>
      <c r="I10" s="7">
        <f t="shared" si="0"/>
        <v>645</v>
      </c>
      <c r="J10" s="6">
        <f t="shared" si="1"/>
        <v>0.07751127518665796</v>
      </c>
    </row>
    <row r="11" spans="1:10" ht="15">
      <c r="A11" s="39"/>
      <c r="B11" s="3" t="s">
        <v>16</v>
      </c>
      <c r="C11" s="7"/>
      <c r="D11" s="11">
        <v>4897</v>
      </c>
      <c r="E11" s="11">
        <v>4929</v>
      </c>
      <c r="F11" s="6">
        <f>(E11-D11)*15</f>
        <v>480</v>
      </c>
      <c r="G11" s="7">
        <v>0</v>
      </c>
      <c r="H11" s="7">
        <v>0</v>
      </c>
      <c r="I11" s="7">
        <f t="shared" si="0"/>
        <v>480</v>
      </c>
      <c r="J11" s="6">
        <f t="shared" si="1"/>
        <v>0.05768280944123383</v>
      </c>
    </row>
    <row r="12" spans="1:10" ht="15">
      <c r="A12" s="39"/>
      <c r="B12" s="3" t="s">
        <v>17</v>
      </c>
      <c r="C12" s="7"/>
      <c r="D12" s="11">
        <v>5090</v>
      </c>
      <c r="E12" s="11">
        <v>5117</v>
      </c>
      <c r="F12" s="6">
        <f>(E12-D12)*10</f>
        <v>270</v>
      </c>
      <c r="G12" s="7">
        <v>0</v>
      </c>
      <c r="H12" s="7">
        <v>0</v>
      </c>
      <c r="I12" s="7">
        <f t="shared" si="0"/>
        <v>270</v>
      </c>
      <c r="J12" s="6">
        <f t="shared" si="1"/>
        <v>0.03244658031069403</v>
      </c>
    </row>
    <row r="13" spans="1:10" ht="15">
      <c r="A13" s="39"/>
      <c r="B13" s="3" t="s">
        <v>18</v>
      </c>
      <c r="C13" s="7"/>
      <c r="D13" s="11">
        <v>3728</v>
      </c>
      <c r="E13" s="11">
        <v>3749</v>
      </c>
      <c r="F13" s="6">
        <f>(E13-D13)*10</f>
        <v>210</v>
      </c>
      <c r="G13" s="7">
        <v>0</v>
      </c>
      <c r="H13" s="7">
        <v>0</v>
      </c>
      <c r="I13" s="7">
        <f t="shared" si="0"/>
        <v>210</v>
      </c>
      <c r="J13" s="6">
        <f t="shared" si="1"/>
        <v>0.0252362291305398</v>
      </c>
    </row>
    <row r="14" spans="1:10" ht="15">
      <c r="A14" s="39"/>
      <c r="B14" s="3" t="s">
        <v>19</v>
      </c>
      <c r="C14" s="7"/>
      <c r="D14" s="19">
        <v>918</v>
      </c>
      <c r="E14" s="19">
        <v>941</v>
      </c>
      <c r="F14" s="13">
        <f>(E14-D14)*10+300</f>
        <v>530</v>
      </c>
      <c r="G14" s="7">
        <v>0</v>
      </c>
      <c r="H14" s="7">
        <v>0</v>
      </c>
      <c r="I14" s="7">
        <f t="shared" si="0"/>
        <v>530</v>
      </c>
      <c r="J14" s="6">
        <f t="shared" si="1"/>
        <v>0.06369143542469569</v>
      </c>
    </row>
    <row r="15" spans="1:10" ht="15">
      <c r="A15" s="39"/>
      <c r="B15" s="3" t="s">
        <v>20</v>
      </c>
      <c r="C15" s="7"/>
      <c r="D15" s="19">
        <v>7578</v>
      </c>
      <c r="E15" s="19">
        <v>7658</v>
      </c>
      <c r="F15" s="13">
        <f>(E15-D15)*15+1245</f>
        <v>2445</v>
      </c>
      <c r="G15" s="7">
        <v>0</v>
      </c>
      <c r="H15" s="7">
        <v>0</v>
      </c>
      <c r="I15" s="7">
        <f t="shared" si="0"/>
        <v>2445</v>
      </c>
      <c r="J15" s="6">
        <f t="shared" si="1"/>
        <v>0.2938218105912848</v>
      </c>
    </row>
    <row r="16" spans="1:10" ht="15">
      <c r="A16" s="12"/>
      <c r="B16" s="12" t="s">
        <v>14</v>
      </c>
      <c r="C16" s="12"/>
      <c r="D16" s="13"/>
      <c r="E16" s="12"/>
      <c r="F16" s="14">
        <f>SUM(F10:F15)</f>
        <v>4580</v>
      </c>
      <c r="G16" s="14">
        <f>SUM(G10:G15)</f>
        <v>0</v>
      </c>
      <c r="H16" s="14">
        <f>SUM(H10:H15)</f>
        <v>0</v>
      </c>
      <c r="I16" s="14">
        <f>SUM(I10:I15)</f>
        <v>4580</v>
      </c>
      <c r="J16" s="6">
        <f t="shared" si="1"/>
        <v>0.5503901400851061</v>
      </c>
    </row>
    <row r="17" spans="1:12" ht="15">
      <c r="A17" s="1"/>
      <c r="B17" s="1"/>
      <c r="C17" s="1"/>
      <c r="D17" s="1"/>
      <c r="E17" s="1" t="s">
        <v>23</v>
      </c>
      <c r="F17" s="16">
        <f>F10+F12+F14+F15</f>
        <v>3890</v>
      </c>
      <c r="G17" s="16">
        <f>G10+G12+G14+G15</f>
        <v>0</v>
      </c>
      <c r="H17" s="16">
        <f>H10+H12+H14+H15</f>
        <v>0</v>
      </c>
      <c r="I17" s="16">
        <f>I10+I12+I14+I15</f>
        <v>3890</v>
      </c>
      <c r="J17" s="6">
        <f t="shared" si="1"/>
        <v>0.4674711015133325</v>
      </c>
      <c r="K17" s="18"/>
      <c r="L17" s="17"/>
    </row>
    <row r="18" spans="1:12" ht="15">
      <c r="A18" s="1"/>
      <c r="B18" s="1"/>
      <c r="C18" s="1"/>
      <c r="D18" s="1"/>
      <c r="E18" s="1" t="s">
        <v>22</v>
      </c>
      <c r="F18" s="15">
        <f>F11+F13</f>
        <v>690</v>
      </c>
      <c r="G18" s="15">
        <f>G11+G13</f>
        <v>0</v>
      </c>
      <c r="H18" s="15">
        <f>H11+H13</f>
        <v>0</v>
      </c>
      <c r="I18" s="15">
        <f>I11+I13</f>
        <v>690</v>
      </c>
      <c r="J18" s="6">
        <f t="shared" si="1"/>
        <v>0.08291903857177363</v>
      </c>
      <c r="K18" s="18"/>
      <c r="L18" s="17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I5:I6"/>
    <mergeCell ref="A10:A15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6" sqref="F16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9" t="s">
        <v>30</v>
      </c>
    </row>
    <row r="4" spans="1:10" ht="15">
      <c r="A4" s="42" t="s">
        <v>8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90" customHeight="1">
      <c r="A5" s="36" t="s">
        <v>0</v>
      </c>
      <c r="B5" s="40" t="s">
        <v>1</v>
      </c>
      <c r="C5" s="36" t="s">
        <v>2</v>
      </c>
      <c r="D5" s="45" t="s">
        <v>7</v>
      </c>
      <c r="E5" s="46"/>
      <c r="F5" s="36" t="s">
        <v>11</v>
      </c>
      <c r="G5" s="36" t="s">
        <v>3</v>
      </c>
      <c r="H5" s="36" t="s">
        <v>4</v>
      </c>
      <c r="I5" s="36" t="s">
        <v>5</v>
      </c>
      <c r="J5" s="40" t="s">
        <v>6</v>
      </c>
    </row>
    <row r="6" spans="1:10" ht="21.75" customHeight="1">
      <c r="A6" s="37"/>
      <c r="B6" s="41"/>
      <c r="C6" s="37"/>
      <c r="D6" s="10" t="s">
        <v>12</v>
      </c>
      <c r="E6" s="4" t="s">
        <v>13</v>
      </c>
      <c r="F6" s="37"/>
      <c r="G6" s="37"/>
      <c r="H6" s="37"/>
      <c r="I6" s="37"/>
      <c r="J6" s="41"/>
    </row>
    <row r="7" spans="1:12" ht="15">
      <c r="A7" s="20">
        <v>1</v>
      </c>
      <c r="B7" s="21" t="s">
        <v>31</v>
      </c>
      <c r="C7" s="20"/>
      <c r="D7" s="22"/>
      <c r="E7" s="23"/>
      <c r="F7" s="20">
        <f>55.94+0.64+1.93+0.43+0.43</f>
        <v>59.37</v>
      </c>
      <c r="G7" s="24">
        <f>789.1*0.1917/4.01</f>
        <v>37.72330922693268</v>
      </c>
      <c r="H7" s="20">
        <f>0.64+1.93+0.43+0.43</f>
        <v>3.43</v>
      </c>
      <c r="I7" s="7">
        <f>F7-G7-H7</f>
        <v>18.21669077306732</v>
      </c>
      <c r="J7" s="6">
        <f aca="true" t="shared" si="0" ref="J7:J19">I7/8321.37</f>
        <v>0.0021891456302348435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732.94+8.03+24.09+5.22+5.22</f>
        <v>775.5000000000001</v>
      </c>
      <c r="G8" s="5">
        <f>464.2545+304.77+20.08</f>
        <v>789.1045</v>
      </c>
      <c r="H8" s="5">
        <f>8.03+24.09+5.22+5.22</f>
        <v>42.559999999999995</v>
      </c>
      <c r="I8" s="7">
        <f aca="true" t="shared" si="1" ref="I8:I16">F8-G8-H8</f>
        <v>-56.16449999999991</v>
      </c>
      <c r="J8" s="6">
        <f t="shared" si="0"/>
        <v>-0.006749429480962859</v>
      </c>
      <c r="L8" s="17"/>
    </row>
    <row r="9" spans="1:12" ht="15">
      <c r="A9" s="2">
        <v>3</v>
      </c>
      <c r="B9" s="3" t="s">
        <v>21</v>
      </c>
      <c r="C9" s="7" t="s">
        <v>32</v>
      </c>
      <c r="D9" s="8"/>
      <c r="E9" s="8"/>
      <c r="F9" s="5">
        <v>999.577</v>
      </c>
      <c r="G9" s="5">
        <f>504.4+384.41+8.41</f>
        <v>897.2199999999999</v>
      </c>
      <c r="H9" s="5">
        <v>87</v>
      </c>
      <c r="I9" s="7">
        <f t="shared" si="1"/>
        <v>15.357000000000085</v>
      </c>
      <c r="J9" s="6">
        <f t="shared" si="0"/>
        <v>0.001845489384560485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1775.0770000000002</v>
      </c>
      <c r="G10" s="5">
        <f>921.44+645.7+7.58+111.6045</f>
        <v>1686.3245</v>
      </c>
      <c r="H10" s="5">
        <f>H8+H9</f>
        <v>129.56</v>
      </c>
      <c r="I10" s="7">
        <f t="shared" si="1"/>
        <v>-40.80749999999972</v>
      </c>
      <c r="J10" s="6">
        <f t="shared" si="0"/>
        <v>-0.004903940096402361</v>
      </c>
    </row>
    <row r="11" spans="1:10" ht="15">
      <c r="A11" s="38">
        <v>5</v>
      </c>
      <c r="B11" s="3" t="s">
        <v>15</v>
      </c>
      <c r="C11" s="7"/>
      <c r="D11" s="11">
        <v>6811</v>
      </c>
      <c r="E11" s="11">
        <v>6871</v>
      </c>
      <c r="F11" s="6">
        <f>(E11-D11)*15</f>
        <v>900</v>
      </c>
      <c r="G11" s="7">
        <v>0</v>
      </c>
      <c r="H11" s="7">
        <v>0</v>
      </c>
      <c r="I11" s="7">
        <f t="shared" si="1"/>
        <v>900</v>
      </c>
      <c r="J11" s="6">
        <f t="shared" si="0"/>
        <v>0.10815526770231343</v>
      </c>
    </row>
    <row r="12" spans="1:10" ht="15">
      <c r="A12" s="39"/>
      <c r="B12" s="3" t="s">
        <v>16</v>
      </c>
      <c r="C12" s="7"/>
      <c r="D12" s="11">
        <v>4929</v>
      </c>
      <c r="E12" s="11">
        <v>4969</v>
      </c>
      <c r="F12" s="6">
        <f>(E12-D12)*15</f>
        <v>600</v>
      </c>
      <c r="G12" s="7">
        <v>0</v>
      </c>
      <c r="H12" s="7">
        <v>0</v>
      </c>
      <c r="I12" s="7">
        <f t="shared" si="1"/>
        <v>600</v>
      </c>
      <c r="J12" s="6">
        <f t="shared" si="0"/>
        <v>0.07210351180154229</v>
      </c>
    </row>
    <row r="13" spans="1:10" ht="15">
      <c r="A13" s="39"/>
      <c r="B13" s="3" t="s">
        <v>17</v>
      </c>
      <c r="C13" s="7"/>
      <c r="D13" s="11">
        <v>5117</v>
      </c>
      <c r="E13" s="11">
        <v>5157</v>
      </c>
      <c r="F13" s="6">
        <f>(E13-D13)*10</f>
        <v>400</v>
      </c>
      <c r="G13" s="7">
        <v>0</v>
      </c>
      <c r="H13" s="7">
        <v>0</v>
      </c>
      <c r="I13" s="7">
        <f t="shared" si="1"/>
        <v>400</v>
      </c>
      <c r="J13" s="6">
        <f t="shared" si="0"/>
        <v>0.04806900786769486</v>
      </c>
    </row>
    <row r="14" spans="1:10" ht="15">
      <c r="A14" s="39"/>
      <c r="B14" s="3" t="s">
        <v>18</v>
      </c>
      <c r="C14" s="7"/>
      <c r="D14" s="11">
        <v>3749</v>
      </c>
      <c r="E14" s="11">
        <v>3775</v>
      </c>
      <c r="F14" s="6">
        <f>(E14-D14)*10</f>
        <v>260</v>
      </c>
      <c r="G14" s="7">
        <v>0</v>
      </c>
      <c r="H14" s="7">
        <v>0</v>
      </c>
      <c r="I14" s="7">
        <f t="shared" si="1"/>
        <v>260</v>
      </c>
      <c r="J14" s="6">
        <f t="shared" si="0"/>
        <v>0.031244855114001657</v>
      </c>
    </row>
    <row r="15" spans="1:10" ht="15">
      <c r="A15" s="39"/>
      <c r="B15" s="3" t="s">
        <v>19</v>
      </c>
      <c r="C15" s="7"/>
      <c r="D15" s="19">
        <v>941</v>
      </c>
      <c r="E15" s="19">
        <v>948</v>
      </c>
      <c r="F15" s="13">
        <f>(E15-D15)*10</f>
        <v>70</v>
      </c>
      <c r="G15" s="7">
        <v>0</v>
      </c>
      <c r="H15" s="7">
        <v>0</v>
      </c>
      <c r="I15" s="7">
        <f t="shared" si="1"/>
        <v>70</v>
      </c>
      <c r="J15" s="6">
        <f t="shared" si="0"/>
        <v>0.0084120763768466</v>
      </c>
    </row>
    <row r="16" spans="1:10" ht="15">
      <c r="A16" s="39"/>
      <c r="B16" s="3" t="s">
        <v>20</v>
      </c>
      <c r="C16" s="7"/>
      <c r="D16" s="19">
        <v>7696.2</v>
      </c>
      <c r="E16" s="19">
        <v>7741</v>
      </c>
      <c r="F16" s="13">
        <f>(E16-D16)*15+573</f>
        <v>1245.0000000000027</v>
      </c>
      <c r="G16" s="7">
        <v>0</v>
      </c>
      <c r="H16" s="7">
        <v>0</v>
      </c>
      <c r="I16" s="7">
        <f t="shared" si="1"/>
        <v>1245.0000000000027</v>
      </c>
      <c r="J16" s="6">
        <f t="shared" si="0"/>
        <v>0.14961478698820058</v>
      </c>
    </row>
    <row r="17" spans="1:12" ht="15">
      <c r="A17" s="47"/>
      <c r="B17" s="12" t="s">
        <v>14</v>
      </c>
      <c r="C17" s="12"/>
      <c r="D17" s="13"/>
      <c r="E17" s="12"/>
      <c r="F17" s="14">
        <f>SUM(F11:F16)</f>
        <v>3475.0000000000027</v>
      </c>
      <c r="G17" s="14">
        <f>SUM(G11:G16)</f>
        <v>0</v>
      </c>
      <c r="H17" s="14">
        <f>SUM(H11:H16)</f>
        <v>0</v>
      </c>
      <c r="I17" s="14">
        <f>SUM(I11:I16)</f>
        <v>3475.0000000000027</v>
      </c>
      <c r="J17" s="6">
        <f t="shared" si="0"/>
        <v>0.4175995058505994</v>
      </c>
      <c r="K17" s="18"/>
      <c r="L17" s="17"/>
    </row>
    <row r="18" spans="1:12" ht="15">
      <c r="A18" s="1"/>
      <c r="B18" s="1"/>
      <c r="C18" s="1"/>
      <c r="D18" s="1"/>
      <c r="E18" s="1" t="s">
        <v>23</v>
      </c>
      <c r="F18" s="16">
        <f>F11+F13+F15+F16</f>
        <v>2615.0000000000027</v>
      </c>
      <c r="G18" s="16">
        <f>G11+G13+G15+G16</f>
        <v>0</v>
      </c>
      <c r="H18" s="16">
        <f>H11+H13+H15+H16</f>
        <v>0</v>
      </c>
      <c r="I18" s="16">
        <f>I11+I13+I15+I16</f>
        <v>2615.0000000000027</v>
      </c>
      <c r="J18" s="6">
        <f t="shared" si="0"/>
        <v>0.31425113893505546</v>
      </c>
      <c r="K18" s="18"/>
      <c r="L18" s="17"/>
    </row>
    <row r="19" spans="1:10" ht="15">
      <c r="A19" s="1"/>
      <c r="B19" s="1"/>
      <c r="C19" s="1"/>
      <c r="D19" s="1"/>
      <c r="E19" s="1" t="s">
        <v>22</v>
      </c>
      <c r="F19" s="15">
        <f>F12+F14</f>
        <v>860</v>
      </c>
      <c r="G19" s="15">
        <f>G12+G14</f>
        <v>0</v>
      </c>
      <c r="H19" s="15">
        <f>H12+H14</f>
        <v>0</v>
      </c>
      <c r="I19" s="15">
        <f>I12+I14</f>
        <v>860</v>
      </c>
      <c r="J19" s="6">
        <f t="shared" si="0"/>
        <v>0.10334836691554394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H5:H6"/>
    <mergeCell ref="I5:I6"/>
    <mergeCell ref="A11:A17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33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43.6+0.5+1.5+0.33+0.33</f>
        <v>46.26</v>
      </c>
      <c r="G7" s="32">
        <f>720.02*0.0478</f>
        <v>34.416956</v>
      </c>
      <c r="H7" s="28">
        <f>0.5+1.5+0.33+0.33</f>
        <v>2.66</v>
      </c>
      <c r="I7" s="7">
        <f aca="true" t="shared" si="0" ref="I7:I16">F7-G7-H7</f>
        <v>9.183043999999999</v>
      </c>
      <c r="J7" s="6">
        <f aca="true" t="shared" si="1" ref="J7:J19">I7/8321.37</f>
        <v>0.00110354953571347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737.47+7.08+21.25+4.6+4.6</f>
        <v>775.0000000000001</v>
      </c>
      <c r="G8" s="5">
        <f>443.907+275.14+0.97</f>
        <v>720.017</v>
      </c>
      <c r="H8" s="5">
        <f>7.08+21.25+4.6+4.6</f>
        <v>37.53</v>
      </c>
      <c r="I8" s="7">
        <f t="shared" si="0"/>
        <v>17.45300000000006</v>
      </c>
      <c r="J8" s="6">
        <f t="shared" si="1"/>
        <v>0.002097370985787203</v>
      </c>
      <c r="L8" s="17"/>
    </row>
    <row r="9" spans="1:12" ht="15">
      <c r="A9" s="2">
        <v>3</v>
      </c>
      <c r="B9" s="3" t="s">
        <v>21</v>
      </c>
      <c r="C9" s="7" t="s">
        <v>34</v>
      </c>
      <c r="D9" s="8"/>
      <c r="E9" s="8"/>
      <c r="F9" s="5">
        <v>931.3</v>
      </c>
      <c r="G9" s="5">
        <f>489.85+338.79+1.41</f>
        <v>830.0500000000001</v>
      </c>
      <c r="H9" s="5">
        <v>70</v>
      </c>
      <c r="I9" s="7">
        <f t="shared" si="0"/>
        <v>31.249999999999886</v>
      </c>
      <c r="J9" s="6">
        <f t="shared" si="1"/>
        <v>0.0037553912396636473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1706.3000000000002</v>
      </c>
      <c r="G10" s="5">
        <f>894.86+573.52+2.38+79.307</f>
        <v>1550.0670000000002</v>
      </c>
      <c r="H10" s="5">
        <f>H8+H9</f>
        <v>107.53</v>
      </c>
      <c r="I10" s="7">
        <f t="shared" si="0"/>
        <v>48.702999999999946</v>
      </c>
      <c r="J10" s="6">
        <f t="shared" si="1"/>
        <v>0.00585276222545085</v>
      </c>
    </row>
    <row r="11" spans="1:10" ht="15">
      <c r="A11" s="38">
        <v>5</v>
      </c>
      <c r="B11" s="3" t="s">
        <v>15</v>
      </c>
      <c r="C11" s="7"/>
      <c r="D11" s="11">
        <v>6871</v>
      </c>
      <c r="E11" s="11">
        <v>6929</v>
      </c>
      <c r="F11" s="6">
        <f>(E11-D11)*15</f>
        <v>870</v>
      </c>
      <c r="G11" s="7">
        <v>0</v>
      </c>
      <c r="H11" s="7">
        <v>0</v>
      </c>
      <c r="I11" s="7">
        <f t="shared" si="0"/>
        <v>870</v>
      </c>
      <c r="J11" s="6">
        <f t="shared" si="1"/>
        <v>0.10455009211223631</v>
      </c>
    </row>
    <row r="12" spans="1:10" ht="15">
      <c r="A12" s="39"/>
      <c r="B12" s="3" t="s">
        <v>16</v>
      </c>
      <c r="C12" s="7"/>
      <c r="D12" s="11">
        <v>4969</v>
      </c>
      <c r="E12" s="11">
        <v>5012</v>
      </c>
      <c r="F12" s="6">
        <f>(E12-D12)*15</f>
        <v>645</v>
      </c>
      <c r="G12" s="7">
        <v>0</v>
      </c>
      <c r="H12" s="7">
        <v>0</v>
      </c>
      <c r="I12" s="7">
        <f t="shared" si="0"/>
        <v>645</v>
      </c>
      <c r="J12" s="6">
        <f t="shared" si="1"/>
        <v>0.07751127518665796</v>
      </c>
    </row>
    <row r="13" spans="1:10" ht="15">
      <c r="A13" s="39"/>
      <c r="B13" s="3" t="s">
        <v>17</v>
      </c>
      <c r="C13" s="7"/>
      <c r="D13" s="11">
        <v>5157</v>
      </c>
      <c r="E13" s="11">
        <v>5191</v>
      </c>
      <c r="F13" s="6">
        <f>(E13-D13)*10</f>
        <v>340</v>
      </c>
      <c r="G13" s="7">
        <v>0</v>
      </c>
      <c r="H13" s="7">
        <v>0</v>
      </c>
      <c r="I13" s="7">
        <f t="shared" si="0"/>
        <v>340</v>
      </c>
      <c r="J13" s="6">
        <f t="shared" si="1"/>
        <v>0.04085865668754063</v>
      </c>
    </row>
    <row r="14" spans="1:10" ht="15">
      <c r="A14" s="39"/>
      <c r="B14" s="3" t="s">
        <v>18</v>
      </c>
      <c r="C14" s="7"/>
      <c r="D14" s="11">
        <v>3775</v>
      </c>
      <c r="E14" s="11">
        <v>3802</v>
      </c>
      <c r="F14" s="6">
        <f>(E14-D14)*10</f>
        <v>270</v>
      </c>
      <c r="G14" s="7">
        <v>0</v>
      </c>
      <c r="H14" s="7">
        <v>0</v>
      </c>
      <c r="I14" s="7">
        <f t="shared" si="0"/>
        <v>270</v>
      </c>
      <c r="J14" s="6">
        <f t="shared" si="1"/>
        <v>0.03244658031069403</v>
      </c>
    </row>
    <row r="15" spans="1:10" ht="15">
      <c r="A15" s="39"/>
      <c r="B15" s="3" t="s">
        <v>19</v>
      </c>
      <c r="C15" s="7"/>
      <c r="D15" s="19">
        <v>948</v>
      </c>
      <c r="E15" s="19">
        <v>948</v>
      </c>
      <c r="F15" s="13">
        <f>(E15-D15)*10</f>
        <v>0</v>
      </c>
      <c r="G15" s="7">
        <v>0</v>
      </c>
      <c r="H15" s="7">
        <v>0</v>
      </c>
      <c r="I15" s="7">
        <f t="shared" si="0"/>
        <v>0</v>
      </c>
      <c r="J15" s="6">
        <f t="shared" si="1"/>
        <v>0</v>
      </c>
    </row>
    <row r="16" spans="1:10" ht="15">
      <c r="A16" s="39"/>
      <c r="B16" s="3" t="s">
        <v>20</v>
      </c>
      <c r="C16" s="7"/>
      <c r="D16" s="19">
        <v>7741</v>
      </c>
      <c r="E16" s="19">
        <v>7771</v>
      </c>
      <c r="F16" s="13">
        <f>(E16-D16)*15</f>
        <v>450</v>
      </c>
      <c r="G16" s="7">
        <v>0</v>
      </c>
      <c r="H16" s="7">
        <v>0</v>
      </c>
      <c r="I16" s="7">
        <f t="shared" si="0"/>
        <v>450</v>
      </c>
      <c r="J16" s="6">
        <f t="shared" si="1"/>
        <v>0.054077633851156715</v>
      </c>
    </row>
    <row r="17" spans="1:12" ht="15">
      <c r="A17" s="50"/>
      <c r="B17" s="33" t="s">
        <v>14</v>
      </c>
      <c r="C17" s="33"/>
      <c r="D17" s="13"/>
      <c r="E17" s="33"/>
      <c r="F17" s="5">
        <f>SUM(F11:F16)</f>
        <v>2575</v>
      </c>
      <c r="G17" s="5">
        <f>SUM(G11:G16)</f>
        <v>0</v>
      </c>
      <c r="H17" s="5">
        <f>SUM(H11:H16)</f>
        <v>0</v>
      </c>
      <c r="I17" s="5">
        <f>SUM(I11:I16)</f>
        <v>2575</v>
      </c>
      <c r="J17" s="6">
        <f t="shared" si="1"/>
        <v>0.30944423814828564</v>
      </c>
      <c r="K17" s="18"/>
      <c r="L17" s="17"/>
    </row>
    <row r="18" spans="1:12" ht="15">
      <c r="A18" s="1"/>
      <c r="B18" s="1"/>
      <c r="C18" s="1"/>
      <c r="D18" s="1"/>
      <c r="E18" s="1" t="s">
        <v>23</v>
      </c>
      <c r="F18" s="34">
        <f>F11+F13+F15+F16</f>
        <v>1660</v>
      </c>
      <c r="G18" s="34">
        <f>G11+G13+G15+G16</f>
        <v>0</v>
      </c>
      <c r="H18" s="34">
        <f>H11+H13+H15+H16</f>
        <v>0</v>
      </c>
      <c r="I18" s="34">
        <f>I11+I13+I15+I16</f>
        <v>1660</v>
      </c>
      <c r="J18" s="6">
        <f t="shared" si="1"/>
        <v>0.19948638265093366</v>
      </c>
      <c r="K18" s="18"/>
      <c r="L18" s="17"/>
    </row>
    <row r="19" spans="1:10" ht="15">
      <c r="A19" s="1"/>
      <c r="B19" s="1"/>
      <c r="C19" s="1"/>
      <c r="D19" s="1"/>
      <c r="E19" s="1" t="s">
        <v>22</v>
      </c>
      <c r="F19" s="15">
        <f>F12+F14</f>
        <v>915</v>
      </c>
      <c r="G19" s="15">
        <f>G12+G14</f>
        <v>0</v>
      </c>
      <c r="H19" s="15">
        <f>H12+H14</f>
        <v>0</v>
      </c>
      <c r="I19" s="15">
        <f>I12+I14</f>
        <v>915</v>
      </c>
      <c r="J19" s="6">
        <f t="shared" si="1"/>
        <v>0.10995785549735199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A11:A17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8" sqref="G18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35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33.14+0.38+1.14+0.25+0.25</f>
        <v>35.160000000000004</v>
      </c>
      <c r="G7" s="32">
        <f>G8*0.0478</f>
        <v>38.84625696</v>
      </c>
      <c r="H7" s="28">
        <f>0.38+1.14+0.25+0.25</f>
        <v>2.02</v>
      </c>
      <c r="I7" s="7">
        <f aca="true" t="shared" si="0" ref="I7:I17">F7-G7-H7</f>
        <v>-5.706256959999994</v>
      </c>
      <c r="J7" s="6">
        <f>I7/8289.87</f>
        <v>-0.0006883409462392044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722.04+7.58+22.74+4.92+4.92</f>
        <v>762.1999999999999</v>
      </c>
      <c r="G8" s="5">
        <f>440.4532+321.47+50.76</f>
        <v>812.6831999999999</v>
      </c>
      <c r="H8" s="5">
        <f>7.58+22.74+4.92+4.92</f>
        <v>40.160000000000004</v>
      </c>
      <c r="I8" s="7">
        <f t="shared" si="0"/>
        <v>-90.64320000000001</v>
      </c>
      <c r="J8" s="6">
        <f aca="true" t="shared" si="1" ref="J8:J20">I8/8289.87</f>
        <v>-0.010934212478603404</v>
      </c>
      <c r="L8" s="17"/>
    </row>
    <row r="9" spans="1:12" ht="15">
      <c r="A9" s="2">
        <v>3</v>
      </c>
      <c r="B9" s="3" t="s">
        <v>21</v>
      </c>
      <c r="C9" s="35" t="s">
        <v>36</v>
      </c>
      <c r="D9" s="8"/>
      <c r="E9" s="8"/>
      <c r="F9" s="5">
        <v>958.844</v>
      </c>
      <c r="G9" s="5">
        <f>493.9177+325.13+1.64</f>
        <v>820.6877000000001</v>
      </c>
      <c r="H9" s="5">
        <v>115</v>
      </c>
      <c r="I9" s="7">
        <f t="shared" si="0"/>
        <v>23.156299999999987</v>
      </c>
      <c r="J9" s="6">
        <f t="shared" si="1"/>
        <v>0.002793324865166762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1721.0439999999999</v>
      </c>
      <c r="G10" s="5">
        <f>902.291+641.6+35.04+54.44</f>
        <v>1633.371</v>
      </c>
      <c r="H10" s="5">
        <f>H8+H9</f>
        <v>155.16</v>
      </c>
      <c r="I10" s="7">
        <v>0</v>
      </c>
      <c r="J10" s="6">
        <f t="shared" si="1"/>
        <v>0</v>
      </c>
    </row>
    <row r="11" spans="1:10" ht="15">
      <c r="A11" s="38">
        <v>5</v>
      </c>
      <c r="B11" s="3" t="s">
        <v>15</v>
      </c>
      <c r="C11" s="7"/>
      <c r="D11" s="11">
        <v>6929</v>
      </c>
      <c r="E11" s="11">
        <v>6979</v>
      </c>
      <c r="F11" s="6">
        <f>(E11-D11)*15</f>
        <v>750</v>
      </c>
      <c r="G11" s="7">
        <v>0</v>
      </c>
      <c r="H11" s="7">
        <v>0</v>
      </c>
      <c r="I11" s="7">
        <f t="shared" si="0"/>
        <v>750</v>
      </c>
      <c r="J11" s="6">
        <f t="shared" si="1"/>
        <v>0.09047186505940381</v>
      </c>
    </row>
    <row r="12" spans="1:10" ht="15">
      <c r="A12" s="39"/>
      <c r="B12" s="3" t="s">
        <v>16</v>
      </c>
      <c r="C12" s="7"/>
      <c r="D12" s="11">
        <v>5012</v>
      </c>
      <c r="E12" s="11">
        <v>5048</v>
      </c>
      <c r="F12" s="6">
        <f>(E12-D12)*15</f>
        <v>540</v>
      </c>
      <c r="G12" s="7">
        <v>0</v>
      </c>
      <c r="H12" s="7">
        <v>0</v>
      </c>
      <c r="I12" s="7">
        <f t="shared" si="0"/>
        <v>540</v>
      </c>
      <c r="J12" s="6">
        <f t="shared" si="1"/>
        <v>0.06513974284277074</v>
      </c>
    </row>
    <row r="13" spans="1:10" ht="15">
      <c r="A13" s="39"/>
      <c r="B13" s="3" t="s">
        <v>17</v>
      </c>
      <c r="C13" s="7"/>
      <c r="D13" s="11">
        <v>5191</v>
      </c>
      <c r="E13" s="11">
        <v>5226</v>
      </c>
      <c r="F13" s="6">
        <f>(E13-D13)*10</f>
        <v>350</v>
      </c>
      <c r="G13" s="7">
        <v>0</v>
      </c>
      <c r="H13" s="7">
        <v>0</v>
      </c>
      <c r="I13" s="7">
        <f t="shared" si="0"/>
        <v>350</v>
      </c>
      <c r="J13" s="6">
        <f t="shared" si="1"/>
        <v>0.04222020369438845</v>
      </c>
    </row>
    <row r="14" spans="1:10" ht="15">
      <c r="A14" s="39"/>
      <c r="B14" s="3" t="s">
        <v>18</v>
      </c>
      <c r="C14" s="7"/>
      <c r="D14" s="11">
        <v>3802</v>
      </c>
      <c r="E14" s="11">
        <v>3827</v>
      </c>
      <c r="F14" s="6">
        <f>(E14-D14)*10</f>
        <v>250</v>
      </c>
      <c r="G14" s="7">
        <v>0</v>
      </c>
      <c r="H14" s="7">
        <v>0</v>
      </c>
      <c r="I14" s="7">
        <f t="shared" si="0"/>
        <v>250</v>
      </c>
      <c r="J14" s="6">
        <f t="shared" si="1"/>
        <v>0.030157288353134606</v>
      </c>
    </row>
    <row r="15" spans="1:10" ht="15">
      <c r="A15" s="39"/>
      <c r="B15" s="3" t="s">
        <v>37</v>
      </c>
      <c r="C15" s="7"/>
      <c r="D15" s="19">
        <v>0.2</v>
      </c>
      <c r="E15" s="19">
        <v>138</v>
      </c>
      <c r="F15" s="13">
        <f>(E15-D15)*15</f>
        <v>2067</v>
      </c>
      <c r="G15" s="7">
        <v>0</v>
      </c>
      <c r="H15" s="7">
        <v>0</v>
      </c>
      <c r="I15" s="7">
        <f t="shared" si="0"/>
        <v>2067</v>
      </c>
      <c r="J15" s="6">
        <f t="shared" si="1"/>
        <v>0.2493404601037169</v>
      </c>
    </row>
    <row r="16" spans="1:10" ht="15">
      <c r="A16" s="39"/>
      <c r="B16" s="3" t="s">
        <v>20</v>
      </c>
      <c r="C16" s="7"/>
      <c r="D16" s="19">
        <v>7771</v>
      </c>
      <c r="E16" s="19">
        <v>7815</v>
      </c>
      <c r="F16" s="13">
        <f>(E16-D16)*15</f>
        <v>660</v>
      </c>
      <c r="G16" s="7">
        <v>0</v>
      </c>
      <c r="H16" s="7">
        <v>0</v>
      </c>
      <c r="I16" s="7">
        <f t="shared" si="0"/>
        <v>660</v>
      </c>
      <c r="J16" s="6">
        <f t="shared" si="1"/>
        <v>0.07961524125227536</v>
      </c>
    </row>
    <row r="17" spans="1:12" ht="15">
      <c r="A17" s="39"/>
      <c r="B17" s="3" t="s">
        <v>38</v>
      </c>
      <c r="C17" s="7"/>
      <c r="D17" s="19">
        <v>0</v>
      </c>
      <c r="E17" s="19">
        <v>905</v>
      </c>
      <c r="F17" s="13">
        <f>(E17-D17)*1</f>
        <v>905</v>
      </c>
      <c r="G17" s="7">
        <v>0</v>
      </c>
      <c r="H17" s="7">
        <v>0</v>
      </c>
      <c r="I17" s="7">
        <f t="shared" si="0"/>
        <v>905</v>
      </c>
      <c r="J17" s="6">
        <f t="shared" si="1"/>
        <v>0.10916938383834728</v>
      </c>
      <c r="K17" s="18"/>
      <c r="L17" s="17"/>
    </row>
    <row r="18" spans="1:12" ht="15">
      <c r="A18" s="50"/>
      <c r="B18" s="33" t="s">
        <v>14</v>
      </c>
      <c r="C18" s="33"/>
      <c r="D18" s="13"/>
      <c r="E18" s="33"/>
      <c r="F18" s="5">
        <f>SUM(F11:F17)</f>
        <v>5522</v>
      </c>
      <c r="G18" s="5">
        <f>SUM(G11:G17)</f>
        <v>0</v>
      </c>
      <c r="H18" s="5">
        <f>SUM(H11:H17)</f>
        <v>0</v>
      </c>
      <c r="I18" s="5">
        <f>SUM(I11:I17)</f>
        <v>5522</v>
      </c>
      <c r="J18" s="6">
        <f t="shared" si="1"/>
        <v>0.6661141851440372</v>
      </c>
      <c r="K18" s="18"/>
      <c r="L18" s="17"/>
    </row>
    <row r="19" spans="1:10" ht="15">
      <c r="A19" s="1"/>
      <c r="B19" s="1"/>
      <c r="C19" s="1"/>
      <c r="D19" s="1"/>
      <c r="E19" s="1" t="s">
        <v>23</v>
      </c>
      <c r="F19" s="34">
        <f>F11+F13+F15+F16+F17</f>
        <v>4732</v>
      </c>
      <c r="G19" s="34">
        <f>G11+G13+G15+G16+G17</f>
        <v>0</v>
      </c>
      <c r="H19" s="34">
        <f>H11+H13+H15+H16+H17</f>
        <v>0</v>
      </c>
      <c r="I19" s="34">
        <f>I11+I13+I15+I16+I17</f>
        <v>4732</v>
      </c>
      <c r="J19" s="6">
        <f t="shared" si="1"/>
        <v>0.5708171539481318</v>
      </c>
    </row>
    <row r="20" spans="1:10" ht="15">
      <c r="A20" s="1"/>
      <c r="B20" s="1"/>
      <c r="C20" s="1"/>
      <c r="D20" s="1"/>
      <c r="E20" s="1" t="s">
        <v>22</v>
      </c>
      <c r="F20" s="15">
        <f>F12+F14</f>
        <v>790</v>
      </c>
      <c r="G20" s="15">
        <f>G12+G14</f>
        <v>0</v>
      </c>
      <c r="H20" s="15">
        <f>H12+H14</f>
        <v>0</v>
      </c>
      <c r="I20" s="15">
        <f>I12+I14</f>
        <v>790</v>
      </c>
      <c r="J20" s="6">
        <f t="shared" si="1"/>
        <v>0.09529703119590535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I5:I6"/>
    <mergeCell ref="J5:J6"/>
    <mergeCell ref="A11:A18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39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6.89+0.08+0.24+0.05+0.05</f>
        <v>7.31</v>
      </c>
      <c r="G7" s="32">
        <f>G8*0.0478</f>
        <v>35.28357</v>
      </c>
      <c r="H7" s="28">
        <f>0.08+0.24+0.05+0.05</f>
        <v>0.42</v>
      </c>
      <c r="I7" s="7">
        <f>F7-G7-H7</f>
        <v>-28.39357</v>
      </c>
      <c r="J7" s="6">
        <f>I7/8290.17</f>
        <v>-0.003424968366149307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147.87+1.55+4.66+1.01+1.01</f>
        <v>156.1</v>
      </c>
      <c r="G8" s="5">
        <f>425.06+286.95+26.14</f>
        <v>738.15</v>
      </c>
      <c r="H8" s="5">
        <f>1.55+4.66+1.01+1.01</f>
        <v>8.23</v>
      </c>
      <c r="I8" s="7">
        <f>F8-G8-H8</f>
        <v>-590.28</v>
      </c>
      <c r="J8" s="6">
        <f aca="true" t="shared" si="0" ref="J8:J21">I8/8290.17</f>
        <v>-0.07120239995078509</v>
      </c>
      <c r="L8" s="17"/>
    </row>
    <row r="9" spans="1:12" ht="15">
      <c r="A9" s="2">
        <v>3</v>
      </c>
      <c r="B9" s="3" t="s">
        <v>21</v>
      </c>
      <c r="C9" s="35" t="s">
        <v>40</v>
      </c>
      <c r="D9" s="8"/>
      <c r="E9" s="8"/>
      <c r="F9" s="5">
        <f>151.252+756.262</f>
        <v>907.5139999999999</v>
      </c>
      <c r="G9" s="5">
        <f>475.3+380.03+13.26</f>
        <v>868.5899999999999</v>
      </c>
      <c r="H9" s="5">
        <v>124</v>
      </c>
      <c r="I9" s="7">
        <f>F9-G9-H9</f>
        <v>-85.07600000000002</v>
      </c>
      <c r="J9" s="6">
        <f t="shared" si="0"/>
        <v>-0.010262274476880452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1063.6139999999998</v>
      </c>
      <c r="G10" s="5">
        <f>868.28+664.36+37.35+36.75</f>
        <v>1606.7399999999998</v>
      </c>
      <c r="H10" s="5">
        <f>H8+H9</f>
        <v>132.23</v>
      </c>
      <c r="I10" s="7">
        <v>0</v>
      </c>
      <c r="J10" s="6">
        <f t="shared" si="0"/>
        <v>0</v>
      </c>
    </row>
    <row r="11" spans="1:10" ht="15">
      <c r="A11" s="38">
        <v>5</v>
      </c>
      <c r="B11" s="3" t="s">
        <v>15</v>
      </c>
      <c r="C11" s="7"/>
      <c r="D11" s="11">
        <v>6979</v>
      </c>
      <c r="E11" s="11">
        <v>7031</v>
      </c>
      <c r="F11" s="6">
        <f>(E11-D11)*15</f>
        <v>780</v>
      </c>
      <c r="G11" s="7">
        <v>0</v>
      </c>
      <c r="H11" s="7">
        <v>0</v>
      </c>
      <c r="I11" s="7">
        <f aca="true" t="shared" si="1" ref="I11:I18">F11-G11-H11</f>
        <v>780</v>
      </c>
      <c r="J11" s="6">
        <f t="shared" si="0"/>
        <v>0.09408733475911833</v>
      </c>
    </row>
    <row r="12" spans="1:10" ht="15">
      <c r="A12" s="39"/>
      <c r="B12" s="3" t="s">
        <v>16</v>
      </c>
      <c r="C12" s="7"/>
      <c r="D12" s="11">
        <v>5048</v>
      </c>
      <c r="E12" s="11">
        <v>5088</v>
      </c>
      <c r="F12" s="6">
        <f>(E12-D12)*15</f>
        <v>600</v>
      </c>
      <c r="G12" s="7">
        <v>0</v>
      </c>
      <c r="H12" s="7">
        <v>0</v>
      </c>
      <c r="I12" s="7">
        <f t="shared" si="1"/>
        <v>600</v>
      </c>
      <c r="J12" s="6">
        <f t="shared" si="0"/>
        <v>0.07237487289162949</v>
      </c>
    </row>
    <row r="13" spans="1:10" ht="15">
      <c r="A13" s="39"/>
      <c r="B13" s="3" t="s">
        <v>17</v>
      </c>
      <c r="C13" s="7"/>
      <c r="D13" s="11">
        <v>5226</v>
      </c>
      <c r="E13" s="11">
        <v>5262</v>
      </c>
      <c r="F13" s="6">
        <f>(E13-D13)*10</f>
        <v>360</v>
      </c>
      <c r="G13" s="7">
        <v>0</v>
      </c>
      <c r="H13" s="7">
        <v>0</v>
      </c>
      <c r="I13" s="7">
        <f t="shared" si="1"/>
        <v>360</v>
      </c>
      <c r="J13" s="6">
        <f t="shared" si="0"/>
        <v>0.04342492373497769</v>
      </c>
    </row>
    <row r="14" spans="1:10" ht="15">
      <c r="A14" s="39"/>
      <c r="B14" s="3" t="s">
        <v>18</v>
      </c>
      <c r="C14" s="7"/>
      <c r="D14" s="11">
        <v>3827</v>
      </c>
      <c r="E14" s="11">
        <v>3856</v>
      </c>
      <c r="F14" s="6">
        <f>(E14-D14)*10</f>
        <v>290</v>
      </c>
      <c r="G14" s="7">
        <v>0</v>
      </c>
      <c r="H14" s="7">
        <v>0</v>
      </c>
      <c r="I14" s="7">
        <f t="shared" si="1"/>
        <v>290</v>
      </c>
      <c r="J14" s="6">
        <f t="shared" si="0"/>
        <v>0.034981188564287585</v>
      </c>
    </row>
    <row r="15" spans="1:10" ht="15">
      <c r="A15" s="39"/>
      <c r="B15" s="3" t="s">
        <v>41</v>
      </c>
      <c r="C15" s="7"/>
      <c r="D15" s="19">
        <v>101</v>
      </c>
      <c r="E15" s="19">
        <v>127</v>
      </c>
      <c r="F15" s="13">
        <f>(E15-D15)*1</f>
        <v>26</v>
      </c>
      <c r="G15" s="7">
        <v>0</v>
      </c>
      <c r="H15" s="7">
        <v>0</v>
      </c>
      <c r="I15" s="7">
        <f t="shared" si="1"/>
        <v>26</v>
      </c>
      <c r="J15" s="6">
        <f t="shared" si="0"/>
        <v>0.003136244491970611</v>
      </c>
    </row>
    <row r="16" spans="1:10" ht="15">
      <c r="A16" s="39"/>
      <c r="B16" s="3" t="s">
        <v>42</v>
      </c>
      <c r="C16" s="7"/>
      <c r="D16" s="19">
        <v>37</v>
      </c>
      <c r="E16" s="19">
        <v>545</v>
      </c>
      <c r="F16" s="13">
        <f>(E16-D16)*1</f>
        <v>508</v>
      </c>
      <c r="G16" s="7">
        <v>0</v>
      </c>
      <c r="H16" s="7">
        <v>0</v>
      </c>
      <c r="I16" s="7">
        <f t="shared" si="1"/>
        <v>508</v>
      </c>
      <c r="J16" s="6">
        <f t="shared" si="0"/>
        <v>0.06127739238157963</v>
      </c>
    </row>
    <row r="17" spans="1:12" ht="15">
      <c r="A17" s="39"/>
      <c r="B17" s="3" t="s">
        <v>43</v>
      </c>
      <c r="C17" s="7"/>
      <c r="D17" s="19">
        <v>395</v>
      </c>
      <c r="E17" s="19">
        <v>529</v>
      </c>
      <c r="F17" s="13">
        <f>(E17-D17)*1</f>
        <v>134</v>
      </c>
      <c r="G17" s="7">
        <v>0</v>
      </c>
      <c r="H17" s="7">
        <v>0</v>
      </c>
      <c r="I17" s="7">
        <f t="shared" si="1"/>
        <v>134</v>
      </c>
      <c r="J17" s="6">
        <f t="shared" si="0"/>
        <v>0.01616372161246392</v>
      </c>
      <c r="K17" s="18"/>
      <c r="L17" s="17"/>
    </row>
    <row r="18" spans="1:12" ht="15">
      <c r="A18" s="39"/>
      <c r="B18" s="3" t="s">
        <v>44</v>
      </c>
      <c r="C18" s="7"/>
      <c r="D18" s="19">
        <v>510</v>
      </c>
      <c r="E18" s="19">
        <v>679</v>
      </c>
      <c r="F18" s="13">
        <f>(E18-D18)*1</f>
        <v>169</v>
      </c>
      <c r="G18" s="7">
        <v>0</v>
      </c>
      <c r="H18" s="7">
        <v>0</v>
      </c>
      <c r="I18" s="7">
        <f t="shared" si="1"/>
        <v>169</v>
      </c>
      <c r="J18" s="6">
        <f t="shared" si="0"/>
        <v>0.02038558919780897</v>
      </c>
      <c r="K18" s="18"/>
      <c r="L18" s="17"/>
    </row>
    <row r="19" spans="1:10" ht="15">
      <c r="A19" s="50"/>
      <c r="B19" s="33" t="s">
        <v>14</v>
      </c>
      <c r="C19" s="33"/>
      <c r="D19" s="13"/>
      <c r="E19" s="33"/>
      <c r="F19" s="5">
        <f>SUM(F11:F18)</f>
        <v>2867</v>
      </c>
      <c r="G19" s="5">
        <f>SUM(G11:G18)</f>
        <v>0</v>
      </c>
      <c r="H19" s="5">
        <f>SUM(H11:H18)</f>
        <v>0</v>
      </c>
      <c r="I19" s="5">
        <f>SUM(I11:I18)</f>
        <v>2867</v>
      </c>
      <c r="J19" s="6">
        <f t="shared" si="0"/>
        <v>0.3458312676338362</v>
      </c>
    </row>
    <row r="20" spans="1:10" ht="15">
      <c r="A20" s="1"/>
      <c r="B20" s="1"/>
      <c r="C20" s="1"/>
      <c r="D20" s="1"/>
      <c r="E20" s="1" t="s">
        <v>23</v>
      </c>
      <c r="F20" s="34">
        <f aca="true" t="shared" si="2" ref="F20:I21">F11+F13+F15+F17</f>
        <v>1300</v>
      </c>
      <c r="G20" s="34">
        <f t="shared" si="2"/>
        <v>0</v>
      </c>
      <c r="H20" s="34">
        <f t="shared" si="2"/>
        <v>0</v>
      </c>
      <c r="I20" s="34">
        <f t="shared" si="2"/>
        <v>1300</v>
      </c>
      <c r="J20" s="6">
        <f t="shared" si="0"/>
        <v>0.15681222459853056</v>
      </c>
    </row>
    <row r="21" spans="1:10" ht="15">
      <c r="A21" s="1"/>
      <c r="B21" s="1"/>
      <c r="C21" s="1"/>
      <c r="D21" s="1"/>
      <c r="E21" s="1" t="s">
        <v>22</v>
      </c>
      <c r="F21" s="15">
        <f t="shared" si="2"/>
        <v>1567</v>
      </c>
      <c r="G21" s="15">
        <f t="shared" si="2"/>
        <v>0</v>
      </c>
      <c r="H21" s="15">
        <f t="shared" si="2"/>
        <v>0</v>
      </c>
      <c r="I21" s="15">
        <f t="shared" si="2"/>
        <v>1567</v>
      </c>
      <c r="J21" s="6">
        <f t="shared" si="0"/>
        <v>0.18901904303530567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3" sqref="F13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45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32.17+0.37+1.11+0.25+0.25</f>
        <v>34.15</v>
      </c>
      <c r="G7" s="32">
        <f>G8*0.0478</f>
        <v>34.01284046</v>
      </c>
      <c r="H7" s="28">
        <f>0.37+1.11+0.25+0.25</f>
        <v>1.98</v>
      </c>
      <c r="I7" s="7">
        <f>F7-G7-H7</f>
        <v>-1.842840460000001</v>
      </c>
      <c r="J7" s="6">
        <f aca="true" t="shared" si="0" ref="J7:J21">I7/8290.17</f>
        <v>-0.00022229224008675348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734.93+7.71+23.14+5.01+5.01</f>
        <v>775.8</v>
      </c>
      <c r="G8" s="5">
        <f>431.6097+254.966+24.99</f>
        <v>711.5657</v>
      </c>
      <c r="H8" s="5">
        <f>7.71+23.14+5.01+5.01</f>
        <v>40.87</v>
      </c>
      <c r="I8" s="7">
        <f>F8-G8-H8</f>
        <v>23.364299999999965</v>
      </c>
      <c r="J8" s="6">
        <f t="shared" si="0"/>
        <v>0.0028183137378364935</v>
      </c>
      <c r="L8" s="17"/>
    </row>
    <row r="9" spans="1:12" ht="15">
      <c r="A9" s="2">
        <v>3</v>
      </c>
      <c r="B9" s="3" t="s">
        <v>21</v>
      </c>
      <c r="C9" s="35" t="s">
        <v>46</v>
      </c>
      <c r="D9" s="8"/>
      <c r="E9" s="8"/>
      <c r="F9" s="5">
        <v>950.364</v>
      </c>
      <c r="G9" s="5">
        <f>483.2217+331.4+3.96</f>
        <v>818.5817</v>
      </c>
      <c r="H9" s="5">
        <v>63</v>
      </c>
      <c r="I9" s="7">
        <v>24.9084</v>
      </c>
      <c r="J9" s="6">
        <f t="shared" si="0"/>
        <v>0.0030045704732231063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1726.164</v>
      </c>
      <c r="G10" s="5">
        <f>847.3113+569.476+8.31+74.22+30.83</f>
        <v>1530.1472999999999</v>
      </c>
      <c r="H10" s="5">
        <f>H8+H9</f>
        <v>103.87</v>
      </c>
      <c r="I10" s="7">
        <v>0</v>
      </c>
      <c r="J10" s="6">
        <f t="shared" si="0"/>
        <v>0</v>
      </c>
    </row>
    <row r="11" spans="1:10" ht="15">
      <c r="A11" s="38">
        <v>5</v>
      </c>
      <c r="B11" s="3" t="s">
        <v>15</v>
      </c>
      <c r="C11" s="7"/>
      <c r="D11" s="11">
        <v>7031</v>
      </c>
      <c r="E11" s="11">
        <v>7080</v>
      </c>
      <c r="F11" s="6">
        <f>(E11-D11)*15</f>
        <v>735</v>
      </c>
      <c r="G11" s="7">
        <v>0</v>
      </c>
      <c r="H11" s="7">
        <v>0</v>
      </c>
      <c r="I11" s="7">
        <f aca="true" t="shared" si="1" ref="I11:I18">F11-G11-H11</f>
        <v>735</v>
      </c>
      <c r="J11" s="6">
        <f t="shared" si="0"/>
        <v>0.08865921929224611</v>
      </c>
    </row>
    <row r="12" spans="1:10" ht="15">
      <c r="A12" s="39"/>
      <c r="B12" s="3" t="s">
        <v>16</v>
      </c>
      <c r="C12" s="7"/>
      <c r="D12" s="11">
        <v>5088</v>
      </c>
      <c r="E12" s="11">
        <v>5128</v>
      </c>
      <c r="F12" s="6">
        <f>(E12-D12)*15</f>
        <v>600</v>
      </c>
      <c r="G12" s="7">
        <v>0</v>
      </c>
      <c r="H12" s="7">
        <v>0</v>
      </c>
      <c r="I12" s="7">
        <f t="shared" si="1"/>
        <v>600</v>
      </c>
      <c r="J12" s="6">
        <f t="shared" si="0"/>
        <v>0.07237487289162949</v>
      </c>
    </row>
    <row r="13" spans="1:10" ht="15">
      <c r="A13" s="39"/>
      <c r="B13" s="3" t="s">
        <v>17</v>
      </c>
      <c r="C13" s="7"/>
      <c r="D13" s="11">
        <v>5262</v>
      </c>
      <c r="E13" s="11">
        <v>5297</v>
      </c>
      <c r="F13" s="6">
        <f>(E13-D13)*10</f>
        <v>350</v>
      </c>
      <c r="G13" s="7">
        <v>0</v>
      </c>
      <c r="H13" s="7">
        <v>0</v>
      </c>
      <c r="I13" s="7">
        <f t="shared" si="1"/>
        <v>350</v>
      </c>
      <c r="J13" s="6">
        <f t="shared" si="0"/>
        <v>0.04221867585345053</v>
      </c>
    </row>
    <row r="14" spans="1:10" ht="15">
      <c r="A14" s="39"/>
      <c r="B14" s="3" t="s">
        <v>18</v>
      </c>
      <c r="C14" s="7"/>
      <c r="D14" s="11">
        <v>3856</v>
      </c>
      <c r="E14" s="11">
        <v>3886</v>
      </c>
      <c r="F14" s="6">
        <f>(E14-D14)*10</f>
        <v>300</v>
      </c>
      <c r="G14" s="7">
        <v>0</v>
      </c>
      <c r="H14" s="7">
        <v>0</v>
      </c>
      <c r="I14" s="7">
        <f t="shared" si="1"/>
        <v>300</v>
      </c>
      <c r="J14" s="6">
        <f t="shared" si="0"/>
        <v>0.03618743644581474</v>
      </c>
    </row>
    <row r="15" spans="1:10" ht="15">
      <c r="A15" s="39"/>
      <c r="B15" s="3" t="s">
        <v>41</v>
      </c>
      <c r="C15" s="7"/>
      <c r="D15" s="19">
        <v>787</v>
      </c>
      <c r="E15" s="19">
        <v>1470</v>
      </c>
      <c r="F15" s="13">
        <f>(E15-D15)*1</f>
        <v>683</v>
      </c>
      <c r="G15" s="7">
        <v>0</v>
      </c>
      <c r="H15" s="7">
        <v>0</v>
      </c>
      <c r="I15" s="7">
        <f t="shared" si="1"/>
        <v>683</v>
      </c>
      <c r="J15" s="6">
        <f t="shared" si="0"/>
        <v>0.0823867303083049</v>
      </c>
    </row>
    <row r="16" spans="1:10" ht="15">
      <c r="A16" s="39"/>
      <c r="B16" s="3" t="s">
        <v>42</v>
      </c>
      <c r="C16" s="7"/>
      <c r="D16" s="19">
        <v>545</v>
      </c>
      <c r="E16" s="19">
        <v>1050</v>
      </c>
      <c r="F16" s="13">
        <f>(E16-D16)*1</f>
        <v>505</v>
      </c>
      <c r="G16" s="7">
        <v>0</v>
      </c>
      <c r="H16" s="7">
        <v>0</v>
      </c>
      <c r="I16" s="7">
        <f t="shared" si="1"/>
        <v>505</v>
      </c>
      <c r="J16" s="6">
        <f t="shared" si="0"/>
        <v>0.06091551801712148</v>
      </c>
    </row>
    <row r="17" spans="1:12" ht="15">
      <c r="A17" s="39"/>
      <c r="B17" s="3" t="s">
        <v>43</v>
      </c>
      <c r="C17" s="7"/>
      <c r="D17" s="19">
        <v>529</v>
      </c>
      <c r="E17" s="19">
        <v>669</v>
      </c>
      <c r="F17" s="13">
        <f>(E17-D17)*1</f>
        <v>140</v>
      </c>
      <c r="G17" s="7">
        <v>0</v>
      </c>
      <c r="H17" s="7">
        <v>0</v>
      </c>
      <c r="I17" s="7">
        <f t="shared" si="1"/>
        <v>140</v>
      </c>
      <c r="J17" s="6">
        <f t="shared" si="0"/>
        <v>0.016887470341380214</v>
      </c>
      <c r="K17" s="18"/>
      <c r="L17" s="17"/>
    </row>
    <row r="18" spans="1:12" ht="15">
      <c r="A18" s="39"/>
      <c r="B18" s="3" t="s">
        <v>44</v>
      </c>
      <c r="C18" s="7"/>
      <c r="D18" s="19">
        <v>679</v>
      </c>
      <c r="E18" s="19">
        <v>849</v>
      </c>
      <c r="F18" s="13">
        <f>(E18-D18)*1</f>
        <v>170</v>
      </c>
      <c r="G18" s="7">
        <v>0</v>
      </c>
      <c r="H18" s="7">
        <v>0</v>
      </c>
      <c r="I18" s="7">
        <f t="shared" si="1"/>
        <v>170</v>
      </c>
      <c r="J18" s="6">
        <f t="shared" si="0"/>
        <v>0.020506213985961686</v>
      </c>
      <c r="K18" s="18"/>
      <c r="L18" s="17"/>
    </row>
    <row r="19" spans="1:10" ht="15">
      <c r="A19" s="50"/>
      <c r="B19" s="33" t="s">
        <v>14</v>
      </c>
      <c r="C19" s="33"/>
      <c r="D19" s="13"/>
      <c r="E19" s="33"/>
      <c r="F19" s="5">
        <f>SUM(F11:F18)</f>
        <v>3483</v>
      </c>
      <c r="G19" s="5">
        <f>SUM(G11:G18)</f>
        <v>0</v>
      </c>
      <c r="H19" s="5">
        <f>SUM(H11:H18)</f>
        <v>0</v>
      </c>
      <c r="I19" s="5">
        <f>SUM(I11:I18)</f>
        <v>3483</v>
      </c>
      <c r="J19" s="6">
        <f t="shared" si="0"/>
        <v>0.42013613713590914</v>
      </c>
    </row>
    <row r="20" spans="1:10" ht="15">
      <c r="A20" s="1"/>
      <c r="B20" s="1"/>
      <c r="C20" s="1"/>
      <c r="D20" s="1"/>
      <c r="E20" s="1" t="s">
        <v>23</v>
      </c>
      <c r="F20" s="34">
        <f aca="true" t="shared" si="2" ref="F20:I21">F11+F13+F15+F17</f>
        <v>1908</v>
      </c>
      <c r="G20" s="34">
        <f t="shared" si="2"/>
        <v>0</v>
      </c>
      <c r="H20" s="34">
        <f t="shared" si="2"/>
        <v>0</v>
      </c>
      <c r="I20" s="34">
        <f t="shared" si="2"/>
        <v>1908</v>
      </c>
      <c r="J20" s="6">
        <f t="shared" si="0"/>
        <v>0.23015209579538176</v>
      </c>
    </row>
    <row r="21" spans="1:10" ht="15">
      <c r="A21" s="1"/>
      <c r="B21" s="1"/>
      <c r="C21" s="1"/>
      <c r="D21" s="1"/>
      <c r="E21" s="1" t="s">
        <v>22</v>
      </c>
      <c r="F21" s="15">
        <f t="shared" si="2"/>
        <v>1575</v>
      </c>
      <c r="G21" s="15">
        <f t="shared" si="2"/>
        <v>0</v>
      </c>
      <c r="H21" s="15">
        <f t="shared" si="2"/>
        <v>0</v>
      </c>
      <c r="I21" s="15">
        <f t="shared" si="2"/>
        <v>1575</v>
      </c>
      <c r="J21" s="6">
        <f t="shared" si="0"/>
        <v>0.1899840413405274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I5:I6"/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25" t="s">
        <v>47</v>
      </c>
    </row>
    <row r="4" spans="1:10" ht="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90" customHeight="1">
      <c r="A5" s="48" t="s">
        <v>0</v>
      </c>
      <c r="B5" s="51" t="s">
        <v>1</v>
      </c>
      <c r="C5" s="48" t="s">
        <v>2</v>
      </c>
      <c r="D5" s="54" t="s">
        <v>7</v>
      </c>
      <c r="E5" s="55"/>
      <c r="F5" s="48" t="s">
        <v>11</v>
      </c>
      <c r="G5" s="48" t="s">
        <v>3</v>
      </c>
      <c r="H5" s="48" t="s">
        <v>4</v>
      </c>
      <c r="I5" s="48" t="s">
        <v>5</v>
      </c>
      <c r="J5" s="51" t="s">
        <v>6</v>
      </c>
    </row>
    <row r="6" spans="1:10" ht="21.75" customHeight="1">
      <c r="A6" s="49"/>
      <c r="B6" s="52"/>
      <c r="C6" s="49"/>
      <c r="D6" s="26" t="s">
        <v>12</v>
      </c>
      <c r="E6" s="27" t="s">
        <v>13</v>
      </c>
      <c r="F6" s="49"/>
      <c r="G6" s="49"/>
      <c r="H6" s="49"/>
      <c r="I6" s="49"/>
      <c r="J6" s="52"/>
    </row>
    <row r="7" spans="1:12" ht="15">
      <c r="A7" s="28">
        <v>1</v>
      </c>
      <c r="B7" s="29" t="s">
        <v>31</v>
      </c>
      <c r="C7" s="28"/>
      <c r="D7" s="30"/>
      <c r="E7" s="31"/>
      <c r="F7" s="28">
        <f>50.87+0.79+1.81+0.4+0.4</f>
        <v>54.269999999999996</v>
      </c>
      <c r="G7" s="32">
        <f>G8*0.0478</f>
        <v>35.22118144</v>
      </c>
      <c r="H7" s="28">
        <f>0.79+1.81+0.4+0.4</f>
        <v>3.4</v>
      </c>
      <c r="I7" s="7">
        <f>I8*0.0478</f>
        <v>1.19062152</v>
      </c>
      <c r="J7" s="6">
        <f aca="true" t="shared" si="0" ref="J7:J21">I7/8290.17</f>
        <v>0.0001436184686200645</v>
      </c>
      <c r="L7" s="17"/>
    </row>
    <row r="8" spans="1:12" ht="15">
      <c r="A8" s="2">
        <v>2</v>
      </c>
      <c r="B8" s="3" t="s">
        <v>9</v>
      </c>
      <c r="C8" s="6"/>
      <c r="D8" s="8"/>
      <c r="E8" s="8"/>
      <c r="F8" s="6">
        <f>945.7+9.92+29.78+6.45+6.45</f>
        <v>998.3000000000001</v>
      </c>
      <c r="G8" s="5">
        <f>422.0848+298.33+16.43</f>
        <v>736.8448</v>
      </c>
      <c r="H8" s="5">
        <f>9.92+29.78+6.45+6.45</f>
        <v>52.60000000000001</v>
      </c>
      <c r="I8" s="7">
        <v>24.9084</v>
      </c>
      <c r="J8" s="6">
        <f t="shared" si="0"/>
        <v>0.0030045704732231063</v>
      </c>
      <c r="L8" s="17"/>
    </row>
    <row r="9" spans="1:12" ht="15">
      <c r="A9" s="2">
        <v>3</v>
      </c>
      <c r="B9" s="3" t="s">
        <v>21</v>
      </c>
      <c r="C9" s="35" t="s">
        <v>48</v>
      </c>
      <c r="D9" s="8"/>
      <c r="E9" s="8"/>
      <c r="F9" s="5">
        <f>971.746</f>
        <v>971.746</v>
      </c>
      <c r="G9" s="5">
        <f>471.7016+375.86+6.57</f>
        <v>854.1316</v>
      </c>
      <c r="H9" s="5">
        <f>68</f>
        <v>68</v>
      </c>
      <c r="I9" s="7">
        <v>24.9125</v>
      </c>
      <c r="J9" s="6">
        <f t="shared" si="0"/>
        <v>0.003005065034854533</v>
      </c>
      <c r="L9" s="17"/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1970.046</v>
      </c>
      <c r="G10" s="5">
        <f>826.2665+640.4+12.17+75.45+2.02+34.67</f>
        <v>1590.9765</v>
      </c>
      <c r="H10" s="5">
        <f>H8+H9</f>
        <v>120.60000000000001</v>
      </c>
      <c r="I10" s="7">
        <v>0</v>
      </c>
      <c r="J10" s="6">
        <f t="shared" si="0"/>
        <v>0</v>
      </c>
    </row>
    <row r="11" spans="1:10" ht="15">
      <c r="A11" s="38">
        <v>5</v>
      </c>
      <c r="B11" s="3" t="s">
        <v>15</v>
      </c>
      <c r="C11" s="7"/>
      <c r="D11" s="11">
        <v>7080</v>
      </c>
      <c r="E11" s="11">
        <v>7136</v>
      </c>
      <c r="F11" s="6">
        <f>(E11-D11)*15</f>
        <v>840</v>
      </c>
      <c r="G11" s="7">
        <v>0</v>
      </c>
      <c r="H11" s="7">
        <v>0</v>
      </c>
      <c r="I11" s="7">
        <f aca="true" t="shared" si="1" ref="I11:I18">F11-G11-H11</f>
        <v>840</v>
      </c>
      <c r="J11" s="6">
        <f t="shared" si="0"/>
        <v>0.10132482204828128</v>
      </c>
    </row>
    <row r="12" spans="1:10" ht="15">
      <c r="A12" s="39"/>
      <c r="B12" s="3" t="s">
        <v>16</v>
      </c>
      <c r="C12" s="7"/>
      <c r="D12" s="11">
        <v>5128</v>
      </c>
      <c r="E12" s="11">
        <v>5156</v>
      </c>
      <c r="F12" s="6">
        <f>(E12-D12)*15</f>
        <v>420</v>
      </c>
      <c r="G12" s="7">
        <v>0</v>
      </c>
      <c r="H12" s="7">
        <v>0</v>
      </c>
      <c r="I12" s="7">
        <f t="shared" si="1"/>
        <v>420</v>
      </c>
      <c r="J12" s="6">
        <f t="shared" si="0"/>
        <v>0.05066241102414064</v>
      </c>
    </row>
    <row r="13" spans="1:10" ht="15">
      <c r="A13" s="39"/>
      <c r="B13" s="3" t="s">
        <v>17</v>
      </c>
      <c r="C13" s="7"/>
      <c r="D13" s="11">
        <f>5297</f>
        <v>5297</v>
      </c>
      <c r="E13" s="11">
        <v>5335</v>
      </c>
      <c r="F13" s="6">
        <f>(E13-D13)*10</f>
        <v>380</v>
      </c>
      <c r="G13" s="7">
        <v>0</v>
      </c>
      <c r="H13" s="7">
        <v>0</v>
      </c>
      <c r="I13" s="7">
        <f t="shared" si="1"/>
        <v>380</v>
      </c>
      <c r="J13" s="6">
        <f t="shared" si="0"/>
        <v>0.04583741949803201</v>
      </c>
    </row>
    <row r="14" spans="1:10" ht="15">
      <c r="A14" s="39"/>
      <c r="B14" s="3" t="s">
        <v>18</v>
      </c>
      <c r="C14" s="7"/>
      <c r="D14" s="11">
        <v>3886</v>
      </c>
      <c r="E14" s="11">
        <v>3905</v>
      </c>
      <c r="F14" s="6">
        <f>(E14-D14)*10</f>
        <v>190</v>
      </c>
      <c r="G14" s="7">
        <v>0</v>
      </c>
      <c r="H14" s="7">
        <v>0</v>
      </c>
      <c r="I14" s="7">
        <f t="shared" si="1"/>
        <v>190</v>
      </c>
      <c r="J14" s="6">
        <f t="shared" si="0"/>
        <v>0.022918709749016004</v>
      </c>
    </row>
    <row r="15" spans="1:10" ht="15">
      <c r="A15" s="39"/>
      <c r="B15" s="3" t="s">
        <v>41</v>
      </c>
      <c r="C15" s="7"/>
      <c r="D15" s="19">
        <v>1470</v>
      </c>
      <c r="E15" s="19">
        <v>2361</v>
      </c>
      <c r="F15" s="13">
        <f>(E15-D15)*1</f>
        <v>891</v>
      </c>
      <c r="G15" s="7">
        <v>0</v>
      </c>
      <c r="H15" s="7">
        <v>0</v>
      </c>
      <c r="I15" s="7">
        <f t="shared" si="1"/>
        <v>891</v>
      </c>
      <c r="J15" s="6">
        <f t="shared" si="0"/>
        <v>0.10747668624406978</v>
      </c>
    </row>
    <row r="16" spans="1:10" ht="15">
      <c r="A16" s="39"/>
      <c r="B16" s="3" t="s">
        <v>42</v>
      </c>
      <c r="C16" s="7"/>
      <c r="D16" s="19">
        <v>1050</v>
      </c>
      <c r="E16" s="19">
        <v>1539</v>
      </c>
      <c r="F16" s="13">
        <f>(E16-D16)*1</f>
        <v>489</v>
      </c>
      <c r="G16" s="7">
        <v>0</v>
      </c>
      <c r="H16" s="7">
        <v>0</v>
      </c>
      <c r="I16" s="7">
        <f t="shared" si="1"/>
        <v>489</v>
      </c>
      <c r="J16" s="6">
        <f t="shared" si="0"/>
        <v>0.05898552140667803</v>
      </c>
    </row>
    <row r="17" spans="1:12" ht="15">
      <c r="A17" s="39"/>
      <c r="B17" s="3" t="s">
        <v>43</v>
      </c>
      <c r="C17" s="7"/>
      <c r="D17" s="19">
        <v>669</v>
      </c>
      <c r="E17" s="19">
        <v>819</v>
      </c>
      <c r="F17" s="13">
        <f>(E17-D17)*1</f>
        <v>150</v>
      </c>
      <c r="G17" s="7">
        <v>0</v>
      </c>
      <c r="H17" s="7">
        <v>0</v>
      </c>
      <c r="I17" s="7">
        <f t="shared" si="1"/>
        <v>150</v>
      </c>
      <c r="J17" s="6">
        <f t="shared" si="0"/>
        <v>0.01809371822290737</v>
      </c>
      <c r="K17" s="18"/>
      <c r="L17" s="17"/>
    </row>
    <row r="18" spans="1:12" ht="15">
      <c r="A18" s="39"/>
      <c r="B18" s="3" t="s">
        <v>44</v>
      </c>
      <c r="C18" s="7"/>
      <c r="D18" s="19">
        <v>849</v>
      </c>
      <c r="E18" s="19">
        <v>997</v>
      </c>
      <c r="F18" s="13">
        <f>(E18-D18)*1</f>
        <v>148</v>
      </c>
      <c r="G18" s="7">
        <v>0</v>
      </c>
      <c r="H18" s="7">
        <v>0</v>
      </c>
      <c r="I18" s="7">
        <f t="shared" si="1"/>
        <v>148</v>
      </c>
      <c r="J18" s="6">
        <f t="shared" si="0"/>
        <v>0.01785246864660194</v>
      </c>
      <c r="K18" s="18"/>
      <c r="L18" s="17"/>
    </row>
    <row r="19" spans="1:10" ht="15">
      <c r="A19" s="50"/>
      <c r="B19" s="33" t="s">
        <v>14</v>
      </c>
      <c r="C19" s="33"/>
      <c r="D19" s="13"/>
      <c r="E19" s="33"/>
      <c r="F19" s="5">
        <f>SUM(F11:F18)</f>
        <v>3508</v>
      </c>
      <c r="G19" s="5">
        <f>SUM(G11:G18)</f>
        <v>0</v>
      </c>
      <c r="H19" s="5">
        <f>SUM(H11:H18)</f>
        <v>0</v>
      </c>
      <c r="I19" s="5">
        <f>SUM(I11:I18)</f>
        <v>3508</v>
      </c>
      <c r="J19" s="6">
        <f t="shared" si="0"/>
        <v>0.42315175683972706</v>
      </c>
    </row>
    <row r="20" spans="1:10" ht="15">
      <c r="A20" s="1"/>
      <c r="B20" s="1"/>
      <c r="C20" s="1"/>
      <c r="D20" s="1"/>
      <c r="E20" s="1" t="s">
        <v>23</v>
      </c>
      <c r="F20" s="34">
        <f aca="true" t="shared" si="2" ref="F20:I21">F11+F13+F15+F17</f>
        <v>2261</v>
      </c>
      <c r="G20" s="34">
        <f t="shared" si="2"/>
        <v>0</v>
      </c>
      <c r="H20" s="34">
        <f t="shared" si="2"/>
        <v>0</v>
      </c>
      <c r="I20" s="34">
        <f t="shared" si="2"/>
        <v>2261</v>
      </c>
      <c r="J20" s="6">
        <f t="shared" si="0"/>
        <v>0.27273264601329045</v>
      </c>
    </row>
    <row r="21" spans="1:10" ht="15">
      <c r="A21" s="1"/>
      <c r="B21" s="1"/>
      <c r="C21" s="1"/>
      <c r="D21" s="1"/>
      <c r="E21" s="1" t="s">
        <v>22</v>
      </c>
      <c r="F21" s="15">
        <f t="shared" si="2"/>
        <v>1247</v>
      </c>
      <c r="G21" s="15">
        <f t="shared" si="2"/>
        <v>0</v>
      </c>
      <c r="H21" s="15">
        <f t="shared" si="2"/>
        <v>0</v>
      </c>
      <c r="I21" s="15">
        <f t="shared" si="2"/>
        <v>1247</v>
      </c>
      <c r="J21" s="6">
        <f t="shared" si="0"/>
        <v>0.1504191108264366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H5:H6"/>
    <mergeCell ref="I5:I6"/>
    <mergeCell ref="A11:A19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2012-11-26T04:02:36Z</cp:lastPrinted>
  <dcterms:created xsi:type="dcterms:W3CDTF">2006-09-16T00:00:00Z</dcterms:created>
  <dcterms:modified xsi:type="dcterms:W3CDTF">2014-02-06T04:27:36Z</dcterms:modified>
  <cp:category/>
  <cp:version/>
  <cp:contentType/>
  <cp:contentStatus/>
</cp:coreProperties>
</file>