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1"/>
  </bookViews>
  <sheets>
    <sheet name="65 (январь) " sheetId="1" r:id="rId1"/>
    <sheet name="65 (февраль)" sheetId="2" r:id="rId2"/>
    <sheet name="65 (март)" sheetId="3" r:id="rId3"/>
    <sheet name="65 (апрель)" sheetId="4" r:id="rId4"/>
    <sheet name="65 (май)" sheetId="5" r:id="rId5"/>
    <sheet name="65 (июнь)" sheetId="6" r:id="rId6"/>
    <sheet name="65 (июль)" sheetId="7" r:id="rId7"/>
    <sheet name="65 (август)" sheetId="8" r:id="rId8"/>
    <sheet name="65 (сентябрь)" sheetId="9" r:id="rId9"/>
    <sheet name="65 (октябрь)" sheetId="10" r:id="rId10"/>
    <sheet name="65 (ноябрь)" sheetId="11" r:id="rId11"/>
    <sheet name="65 (декабрь)" sheetId="12" r:id="rId12"/>
  </sheets>
  <definedNames/>
  <calcPr fullCalcOnLoad="1"/>
</workbook>
</file>

<file path=xl/sharedStrings.xml><?xml version="1.0" encoding="utf-8"?>
<sst xmlns="http://schemas.openxmlformats.org/spreadsheetml/2006/main" count="234" uniqueCount="51">
  <si>
    <t xml:space="preserve"> </t>
  </si>
  <si>
    <t>Услуга</t>
  </si>
  <si>
    <t xml:space="preserve">показания общедомового прибора учета </t>
  </si>
  <si>
    <t>итого к предъявлению ОДН</t>
  </si>
  <si>
    <t>на 1 кв.м</t>
  </si>
  <si>
    <t>показания прибора учета (моп, лифты, дымоудаление)</t>
  </si>
  <si>
    <t>Викулова 65</t>
  </si>
  <si>
    <t>ГВС (тонн)</t>
  </si>
  <si>
    <t>водоотведение(тонн)</t>
  </si>
  <si>
    <t>показание 1</t>
  </si>
  <si>
    <t>показание 2</t>
  </si>
  <si>
    <t>итого по эл.эн.</t>
  </si>
  <si>
    <t>эл.эн.день № сч.00244939</t>
  </si>
  <si>
    <t>эл.эн.ночь № сч.00244939</t>
  </si>
  <si>
    <t>эл.эн.день № сч.00245032</t>
  </si>
  <si>
    <t>эл.эн.ночь № сч.00245032</t>
  </si>
  <si>
    <t>эл.эн.день № сч.00245011</t>
  </si>
  <si>
    <t>эл.эн.ночь № сч.00245011</t>
  </si>
  <si>
    <t>ночь эл.эн.</t>
  </si>
  <si>
    <t>день .эл.эн.</t>
  </si>
  <si>
    <t xml:space="preserve">объем потребления </t>
  </si>
  <si>
    <t xml:space="preserve">начисление по индивидуальным приборам учета и нормативу </t>
  </si>
  <si>
    <t xml:space="preserve">начисление сторонним потребителям </t>
  </si>
  <si>
    <t>ХВС (тонн)</t>
  </si>
  <si>
    <t>нагрев воды (Г.кал.)</t>
  </si>
  <si>
    <t>Объем коммунальных услуг по показаниям общедомовых приборов учета (ОДН) за январь в феврале 2015г.</t>
  </si>
  <si>
    <t>97464,/98637</t>
  </si>
  <si>
    <t>Объем коммунальных услуг по показаниям общедомовых приборов учета (ОДН) за февраль в марте 2015г.</t>
  </si>
  <si>
    <t>98637/198,198/680</t>
  </si>
  <si>
    <t>Объем коммунальных услуг по показаниям общедомовых приборов учета (ОДН) за март в апреле 2015г.</t>
  </si>
  <si>
    <t>680,/2522</t>
  </si>
  <si>
    <t>Общий объем эл.эн.день</t>
  </si>
  <si>
    <t>Общий объем эл.эн.ночь</t>
  </si>
  <si>
    <t>Объем коммунальных услуг по показаниям общедомовых приборов учета (ОДН) за апрель в мае 2015г.</t>
  </si>
  <si>
    <t>2552,/4209</t>
  </si>
  <si>
    <t>Объем коммунальных услуг по показаниям общедомовых приборов учета (ОДН) за май в июне 2015г.</t>
  </si>
  <si>
    <t>4209,/6016</t>
  </si>
  <si>
    <t>Объем коммунальных услуг по показаниям общедомовых приборов учета (ОДН) за июнь в июле 2015г.</t>
  </si>
  <si>
    <t>6016,/7700</t>
  </si>
  <si>
    <t>Объем коммунальных услуг по показаниям общедомовых приборов учета (ОДН) за июль в августе 2015г.</t>
  </si>
  <si>
    <t>7700,/9446</t>
  </si>
  <si>
    <t>Объем коммунальных услуг по показаниям общедомовых приборов учета (ОДН) за август в сентябре 2015г.</t>
  </si>
  <si>
    <t>9446,/10887</t>
  </si>
  <si>
    <t>Объем коммунальных услуг по показаниям общедомовых приборов учета (ОДН) за сентябрь в октябре 2015г.</t>
  </si>
  <si>
    <t>10887,/11623</t>
  </si>
  <si>
    <t>Объем коммунальных услуг по показаниям общедомовых приборов учета (ОДН) за октябрь в ноябре 2015г.</t>
  </si>
  <si>
    <t>11623,/13342</t>
  </si>
  <si>
    <t>Объем коммунальных услуг по показаниям общедомовых приборов учета (ОДН) за ноябрь в декабре 2015г.</t>
  </si>
  <si>
    <t>13342,/14941</t>
  </si>
  <si>
    <t>Объем коммунальных услуг по показаниям общедомовых приборов учета (ОДН) за декабрь в январе 2016г.</t>
  </si>
  <si>
    <t>14941,/16522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</si>
</sst>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#,##0.0000"/>
    <numFmt numFmtId="167" formatCode="#,##0.000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24" borderId="0" xfId="0" applyNumberFormat="1" applyFill="1" applyBorder="1" applyAlignment="1">
      <alignment horizontal="center" vertical="center" wrapText="1"/>
    </xf>
    <xf numFmtId="4" fontId="0" fillId="24" borderId="0" xfId="0" applyNumberFormat="1" applyFill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8" sqref="F8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140625" style="0" customWidth="1"/>
    <col min="5" max="5" width="14.7109375" style="0" customWidth="1"/>
    <col min="6" max="6" width="15.7109375" style="0" customWidth="1"/>
    <col min="7" max="7" width="16.7109375" style="0" customWidth="1"/>
    <col min="8" max="8" width="15.421875" style="0" customWidth="1"/>
    <col min="9" max="9" width="12.7109375" style="0" customWidth="1"/>
    <col min="10" max="10" width="12.140625" style="0" customWidth="1"/>
    <col min="11" max="11" width="9.57421875" style="0" bestFit="1" customWidth="1"/>
  </cols>
  <sheetData>
    <row r="3" ht="15.75">
      <c r="C3" s="11" t="s">
        <v>25</v>
      </c>
    </row>
    <row r="4" spans="1:10" ht="15">
      <c r="A4" s="35" t="s">
        <v>6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73.5" customHeight="1">
      <c r="A5" s="28" t="s">
        <v>0</v>
      </c>
      <c r="B5" s="30" t="s">
        <v>1</v>
      </c>
      <c r="C5" s="28" t="s">
        <v>2</v>
      </c>
      <c r="D5" s="36" t="s">
        <v>5</v>
      </c>
      <c r="E5" s="37"/>
      <c r="F5" s="28" t="s">
        <v>20</v>
      </c>
      <c r="G5" s="28" t="s">
        <v>21</v>
      </c>
      <c r="H5" s="28" t="s">
        <v>22</v>
      </c>
      <c r="I5" s="28" t="s">
        <v>3</v>
      </c>
      <c r="J5" s="30" t="s">
        <v>4</v>
      </c>
    </row>
    <row r="6" spans="1:10" ht="30" customHeight="1">
      <c r="A6" s="29"/>
      <c r="B6" s="31"/>
      <c r="C6" s="29"/>
      <c r="D6" s="12" t="s">
        <v>9</v>
      </c>
      <c r="E6" s="5" t="s">
        <v>10</v>
      </c>
      <c r="F6" s="29"/>
      <c r="G6" s="29"/>
      <c r="H6" s="29"/>
      <c r="I6" s="29"/>
      <c r="J6" s="31"/>
    </row>
    <row r="7" spans="1:12" ht="15.75">
      <c r="A7" s="19">
        <v>1</v>
      </c>
      <c r="B7" s="20" t="s">
        <v>24</v>
      </c>
      <c r="C7" s="19"/>
      <c r="D7" s="21"/>
      <c r="E7" s="22"/>
      <c r="F7" s="19">
        <f>117.24</f>
        <v>117.24</v>
      </c>
      <c r="G7" s="23">
        <f>G8*0.0478</f>
        <v>66.869332</v>
      </c>
      <c r="H7" s="23">
        <v>0</v>
      </c>
      <c r="I7" s="7">
        <f>61.5258*0.0478</f>
        <v>2.94093324</v>
      </c>
      <c r="J7" s="8">
        <f aca="true" t="shared" si="0" ref="J7:J19">I7/12565.3</f>
        <v>0.00023405197169984007</v>
      </c>
      <c r="L7" s="10"/>
    </row>
    <row r="8" spans="1:12" ht="15">
      <c r="A8" s="3">
        <v>2</v>
      </c>
      <c r="B8" s="4" t="s">
        <v>7</v>
      </c>
      <c r="C8" s="8"/>
      <c r="D8" s="6"/>
      <c r="E8" s="6"/>
      <c r="F8" s="8">
        <f>1433.1</f>
        <v>1433.1</v>
      </c>
      <c r="G8" s="7">
        <f>697.74+663.63+37.57</f>
        <v>1398.9399999999998</v>
      </c>
      <c r="H8" s="7">
        <v>0</v>
      </c>
      <c r="I8" s="7">
        <f>F8-G8-H8</f>
        <v>34.16000000000008</v>
      </c>
      <c r="J8" s="8">
        <f t="shared" si="0"/>
        <v>0.002718598043819096</v>
      </c>
      <c r="L8" s="10"/>
    </row>
    <row r="9" spans="1:12" ht="15">
      <c r="A9" s="3">
        <v>3</v>
      </c>
      <c r="B9" s="4" t="s">
        <v>23</v>
      </c>
      <c r="C9" s="7" t="s">
        <v>26</v>
      </c>
      <c r="D9" s="6"/>
      <c r="E9" s="6"/>
      <c r="F9" s="7">
        <f>98637-97464</f>
        <v>1173</v>
      </c>
      <c r="G9" s="7">
        <f>824.5+779.87+31.33</f>
        <v>1635.6999999999998</v>
      </c>
      <c r="H9" s="7">
        <v>0</v>
      </c>
      <c r="I9" s="7">
        <f aca="true" t="shared" si="1" ref="I9:I16">F9-G9-H9</f>
        <v>-462.6999999999998</v>
      </c>
      <c r="J9" s="8">
        <f t="shared" si="0"/>
        <v>-0.03682363333943478</v>
      </c>
      <c r="L9" s="10"/>
    </row>
    <row r="10" spans="1:10" ht="15">
      <c r="A10" s="3">
        <v>4</v>
      </c>
      <c r="B10" s="4" t="s">
        <v>8</v>
      </c>
      <c r="C10" s="7"/>
      <c r="D10" s="6"/>
      <c r="E10" s="6"/>
      <c r="F10" s="7">
        <f>F8+F9</f>
        <v>2606.1</v>
      </c>
      <c r="G10" s="7">
        <f>1506.2+1457.01+38.34+33.09</f>
        <v>3034.6400000000003</v>
      </c>
      <c r="H10" s="7">
        <f>H8+H9</f>
        <v>0</v>
      </c>
      <c r="I10" s="7">
        <v>0</v>
      </c>
      <c r="J10" s="8">
        <f t="shared" si="0"/>
        <v>0</v>
      </c>
    </row>
    <row r="11" spans="1:10" ht="15">
      <c r="A11" s="32">
        <v>5</v>
      </c>
      <c r="B11" s="4" t="s">
        <v>12</v>
      </c>
      <c r="C11" s="7"/>
      <c r="D11" s="13">
        <v>7542</v>
      </c>
      <c r="E11" s="13">
        <v>7620</v>
      </c>
      <c r="F11" s="8">
        <f>(E11-D11)*10*100%</f>
        <v>780</v>
      </c>
      <c r="G11" s="7">
        <v>0</v>
      </c>
      <c r="H11" s="7">
        <v>0</v>
      </c>
      <c r="I11" s="7">
        <f t="shared" si="1"/>
        <v>780</v>
      </c>
      <c r="J11" s="8">
        <f t="shared" si="0"/>
        <v>0.062075716457227446</v>
      </c>
    </row>
    <row r="12" spans="1:10" ht="15">
      <c r="A12" s="33"/>
      <c r="B12" s="4" t="s">
        <v>13</v>
      </c>
      <c r="C12" s="7"/>
      <c r="D12" s="13">
        <v>6928</v>
      </c>
      <c r="E12" s="13">
        <v>7079</v>
      </c>
      <c r="F12" s="8">
        <f>(E12-D12)*10*100%</f>
        <v>1510</v>
      </c>
      <c r="G12" s="7">
        <v>0</v>
      </c>
      <c r="H12" s="7">
        <v>0</v>
      </c>
      <c r="I12" s="7">
        <f t="shared" si="1"/>
        <v>1510</v>
      </c>
      <c r="J12" s="8">
        <f t="shared" si="0"/>
        <v>0.12017222032104288</v>
      </c>
    </row>
    <row r="13" spans="1:10" ht="15">
      <c r="A13" s="33"/>
      <c r="B13" s="4" t="s">
        <v>14</v>
      </c>
      <c r="C13" s="7"/>
      <c r="D13" s="13">
        <v>8397</v>
      </c>
      <c r="E13" s="13">
        <v>8494</v>
      </c>
      <c r="F13" s="8">
        <f>(E13-D13)*10*100%</f>
        <v>970</v>
      </c>
      <c r="G13" s="7">
        <v>0</v>
      </c>
      <c r="H13" s="7">
        <v>0</v>
      </c>
      <c r="I13" s="7">
        <f t="shared" si="1"/>
        <v>970</v>
      </c>
      <c r="J13" s="8">
        <f t="shared" si="0"/>
        <v>0.07719672431219311</v>
      </c>
    </row>
    <row r="14" spans="1:10" ht="15">
      <c r="A14" s="33"/>
      <c r="B14" s="4" t="s">
        <v>15</v>
      </c>
      <c r="C14" s="7"/>
      <c r="D14" s="13">
        <v>7507</v>
      </c>
      <c r="E14" s="13">
        <v>7623</v>
      </c>
      <c r="F14" s="8">
        <f>(E14-D14)*10*100%</f>
        <v>1160</v>
      </c>
      <c r="G14" s="7">
        <v>0</v>
      </c>
      <c r="H14" s="7">
        <v>0</v>
      </c>
      <c r="I14" s="7">
        <f t="shared" si="1"/>
        <v>1160</v>
      </c>
      <c r="J14" s="8">
        <f t="shared" si="0"/>
        <v>0.09231773216715877</v>
      </c>
    </row>
    <row r="15" spans="1:10" ht="15">
      <c r="A15" s="33"/>
      <c r="B15" s="4" t="s">
        <v>16</v>
      </c>
      <c r="C15" s="7"/>
      <c r="D15" s="13">
        <v>5932</v>
      </c>
      <c r="E15" s="13">
        <v>5996</v>
      </c>
      <c r="F15" s="8">
        <f>(E15-D15)*20*100%</f>
        <v>1280</v>
      </c>
      <c r="G15" s="7">
        <v>0</v>
      </c>
      <c r="H15" s="7">
        <v>0</v>
      </c>
      <c r="I15" s="7">
        <f t="shared" si="1"/>
        <v>1280</v>
      </c>
      <c r="J15" s="8">
        <f t="shared" si="0"/>
        <v>0.10186784239134761</v>
      </c>
    </row>
    <row r="16" spans="1:10" ht="15">
      <c r="A16" s="33"/>
      <c r="B16" s="4" t="s">
        <v>17</v>
      </c>
      <c r="C16" s="7"/>
      <c r="D16" s="13">
        <v>5251</v>
      </c>
      <c r="E16" s="13">
        <v>5341</v>
      </c>
      <c r="F16" s="8">
        <f>(E16-D16)*20*100%</f>
        <v>1800</v>
      </c>
      <c r="G16" s="7">
        <v>0</v>
      </c>
      <c r="H16" s="7">
        <v>0</v>
      </c>
      <c r="I16" s="7">
        <f t="shared" si="1"/>
        <v>1800</v>
      </c>
      <c r="J16" s="8">
        <f t="shared" si="0"/>
        <v>0.14325165336283258</v>
      </c>
    </row>
    <row r="17" spans="1:12" ht="15">
      <c r="A17" s="34"/>
      <c r="B17" s="14" t="s">
        <v>11</v>
      </c>
      <c r="C17" s="14"/>
      <c r="D17" s="15"/>
      <c r="E17" s="14"/>
      <c r="F17" s="16">
        <f>SUM(F11:F16)</f>
        <v>7500</v>
      </c>
      <c r="G17" s="16">
        <f>SUM(G11:G16)</f>
        <v>0</v>
      </c>
      <c r="H17" s="16">
        <f>SUM(H11:H16)</f>
        <v>0</v>
      </c>
      <c r="I17" s="16">
        <f>SUM(I11:I16)</f>
        <v>7500</v>
      </c>
      <c r="J17" s="8">
        <f t="shared" si="0"/>
        <v>0.5968818890118024</v>
      </c>
      <c r="K17" s="9"/>
      <c r="L17" s="10"/>
    </row>
    <row r="18" spans="1:12" ht="15">
      <c r="A18" s="1"/>
      <c r="B18" s="1"/>
      <c r="C18" s="1"/>
      <c r="D18" s="1"/>
      <c r="E18" s="1" t="s">
        <v>19</v>
      </c>
      <c r="F18" s="17">
        <f aca="true" t="shared" si="2" ref="F18:I19">F11+F13+F15</f>
        <v>3030</v>
      </c>
      <c r="G18" s="17">
        <f t="shared" si="2"/>
        <v>0</v>
      </c>
      <c r="H18" s="17">
        <f t="shared" si="2"/>
        <v>0</v>
      </c>
      <c r="I18" s="17">
        <f t="shared" si="2"/>
        <v>3030</v>
      </c>
      <c r="J18" s="8">
        <f t="shared" si="0"/>
        <v>0.24114028316076816</v>
      </c>
      <c r="L18" s="10"/>
    </row>
    <row r="19" spans="1:10" ht="15">
      <c r="A19" s="1"/>
      <c r="B19" s="1"/>
      <c r="C19" s="1"/>
      <c r="D19" s="1"/>
      <c r="E19" s="1" t="s">
        <v>18</v>
      </c>
      <c r="F19" s="18">
        <f t="shared" si="2"/>
        <v>4470</v>
      </c>
      <c r="G19" s="18">
        <f t="shared" si="2"/>
        <v>0</v>
      </c>
      <c r="H19" s="18">
        <f t="shared" si="2"/>
        <v>0</v>
      </c>
      <c r="I19" s="18">
        <f t="shared" si="2"/>
        <v>4470</v>
      </c>
      <c r="J19" s="8">
        <f t="shared" si="0"/>
        <v>0.3557416058510342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H5:H6"/>
    <mergeCell ref="I5:I6"/>
    <mergeCell ref="J5:J6"/>
    <mergeCell ref="A11:A17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31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8" sqref="C8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7109375" style="0" customWidth="1"/>
    <col min="5" max="5" width="16.7109375" style="0" customWidth="1"/>
    <col min="6" max="6" width="15.421875" style="0" customWidth="1"/>
    <col min="7" max="7" width="12.7109375" style="0" customWidth="1"/>
    <col min="8" max="8" width="12.140625" style="0" customWidth="1"/>
    <col min="9" max="9" width="9.57421875" style="0" bestFit="1" customWidth="1"/>
  </cols>
  <sheetData>
    <row r="3" spans="2:3" ht="15.75">
      <c r="B3" s="11" t="s">
        <v>45</v>
      </c>
      <c r="C3" s="11"/>
    </row>
    <row r="4" spans="1:8" ht="15">
      <c r="A4" s="35" t="s">
        <v>6</v>
      </c>
      <c r="B4" s="35"/>
      <c r="C4" s="35"/>
      <c r="D4" s="35"/>
      <c r="E4" s="35"/>
      <c r="F4" s="35"/>
      <c r="G4" s="35"/>
      <c r="H4" s="35"/>
    </row>
    <row r="5" spans="1:8" ht="73.5" customHeight="1">
      <c r="A5" s="28" t="s">
        <v>0</v>
      </c>
      <c r="B5" s="30" t="s">
        <v>1</v>
      </c>
      <c r="C5" s="28" t="s">
        <v>2</v>
      </c>
      <c r="D5" s="28" t="s">
        <v>20</v>
      </c>
      <c r="E5" s="28" t="s">
        <v>21</v>
      </c>
      <c r="F5" s="28" t="s">
        <v>22</v>
      </c>
      <c r="G5" s="28" t="s">
        <v>3</v>
      </c>
      <c r="H5" s="30" t="s">
        <v>4</v>
      </c>
    </row>
    <row r="6" spans="1:8" ht="30" customHeight="1">
      <c r="A6" s="29"/>
      <c r="B6" s="31"/>
      <c r="C6" s="29"/>
      <c r="D6" s="29"/>
      <c r="E6" s="29"/>
      <c r="F6" s="29"/>
      <c r="G6" s="29"/>
      <c r="H6" s="31"/>
    </row>
    <row r="7" spans="1:10" ht="15.75">
      <c r="A7" s="19">
        <v>1</v>
      </c>
      <c r="B7" s="20" t="s">
        <v>24</v>
      </c>
      <c r="C7" s="19"/>
      <c r="D7" s="23">
        <f>108.3</f>
        <v>108.3</v>
      </c>
      <c r="E7" s="23">
        <f>E8*0.0478+0.0034</f>
        <v>57.13635</v>
      </c>
      <c r="F7" s="23">
        <v>0</v>
      </c>
      <c r="G7" s="24">
        <f>61.9956*0.0478</f>
        <v>2.96338968</v>
      </c>
      <c r="H7" s="8">
        <f aca="true" t="shared" si="0" ref="H7:H13">G7/12564.5</f>
        <v>0.0002358541668988022</v>
      </c>
      <c r="J7" s="10"/>
    </row>
    <row r="8" spans="1:10" ht="15">
      <c r="A8" s="3">
        <v>2</v>
      </c>
      <c r="B8" s="4" t="s">
        <v>7</v>
      </c>
      <c r="C8" s="8"/>
      <c r="D8" s="8">
        <f>1210</f>
        <v>1210</v>
      </c>
      <c r="E8" s="24">
        <f>702.26-116.8+594.49+15.3</f>
        <v>1195.25</v>
      </c>
      <c r="F8" s="24">
        <v>0</v>
      </c>
      <c r="G8" s="24">
        <f>D8-E8-F8+0.0014</f>
        <v>14.7514</v>
      </c>
      <c r="H8" s="8">
        <f t="shared" si="0"/>
        <v>0.0011740538819690397</v>
      </c>
      <c r="J8" s="10"/>
    </row>
    <row r="9" spans="1:10" ht="15">
      <c r="A9" s="3">
        <v>3</v>
      </c>
      <c r="B9" s="4" t="s">
        <v>23</v>
      </c>
      <c r="C9" s="7" t="s">
        <v>46</v>
      </c>
      <c r="D9" s="26">
        <f>13342-11623</f>
        <v>1719</v>
      </c>
      <c r="E9" s="24">
        <f>715.86-119.31+933.34+166.91</f>
        <v>1696.8</v>
      </c>
      <c r="F9" s="24">
        <v>0</v>
      </c>
      <c r="G9" s="24">
        <f>D9-E9-F9+0.0017</f>
        <v>22.201700000000045</v>
      </c>
      <c r="H9" s="8">
        <f t="shared" si="0"/>
        <v>0.001767018186159421</v>
      </c>
      <c r="J9" s="10"/>
    </row>
    <row r="10" spans="1:8" ht="15">
      <c r="A10" s="3">
        <v>4</v>
      </c>
      <c r="B10" s="4" t="s">
        <v>8</v>
      </c>
      <c r="C10" s="7"/>
      <c r="D10" s="7">
        <f>D8+D9</f>
        <v>2929</v>
      </c>
      <c r="E10" s="24">
        <f>1089.78+1432.88+157.37+208.15+3.87</f>
        <v>2892.0499999999997</v>
      </c>
      <c r="F10" s="24">
        <f>F8+F9</f>
        <v>0</v>
      </c>
      <c r="G10" s="24">
        <v>0</v>
      </c>
      <c r="H10" s="8">
        <f t="shared" si="0"/>
        <v>0</v>
      </c>
    </row>
    <row r="11" spans="1:8" ht="15">
      <c r="A11" s="32">
        <v>5</v>
      </c>
      <c r="B11" s="4" t="s">
        <v>31</v>
      </c>
      <c r="C11" s="7"/>
      <c r="D11" s="8">
        <v>47260</v>
      </c>
      <c r="E11" s="27">
        <f>30950</f>
        <v>30950</v>
      </c>
      <c r="F11" s="24">
        <v>0</v>
      </c>
      <c r="G11" s="24">
        <f>D11-E11-F11-0.001</f>
        <v>16309.999</v>
      </c>
      <c r="H11" s="8">
        <f t="shared" si="0"/>
        <v>1.2981017151498269</v>
      </c>
    </row>
    <row r="12" spans="1:8" ht="15">
      <c r="A12" s="33"/>
      <c r="B12" s="4" t="s">
        <v>32</v>
      </c>
      <c r="C12" s="7"/>
      <c r="D12" s="8">
        <f>18170</f>
        <v>18170</v>
      </c>
      <c r="E12" s="27">
        <f>13990</f>
        <v>13990</v>
      </c>
      <c r="F12" s="24">
        <v>0</v>
      </c>
      <c r="G12" s="24">
        <f>911-0.0014</f>
        <v>910.9986</v>
      </c>
      <c r="H12" s="8">
        <f t="shared" si="0"/>
        <v>0.07250575828723785</v>
      </c>
    </row>
    <row r="13" spans="1:8" ht="15">
      <c r="A13" s="34"/>
      <c r="B13" s="14" t="s">
        <v>11</v>
      </c>
      <c r="C13" s="14"/>
      <c r="D13" s="16">
        <f>SUM(D11:D12)</f>
        <v>65430</v>
      </c>
      <c r="E13" s="25">
        <f>SUM(E11:E12)</f>
        <v>44940</v>
      </c>
      <c r="F13" s="25">
        <f>SUM(F11:F12)</f>
        <v>0</v>
      </c>
      <c r="G13" s="25">
        <f>SUM(G11:G12)</f>
        <v>17220.9976</v>
      </c>
      <c r="H13" s="8">
        <f t="shared" si="0"/>
        <v>1.3706074734370646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31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7109375" style="0" customWidth="1"/>
    <col min="5" max="5" width="16.7109375" style="0" customWidth="1"/>
    <col min="6" max="6" width="15.421875" style="0" customWidth="1"/>
    <col min="7" max="7" width="12.7109375" style="0" customWidth="1"/>
    <col min="8" max="8" width="12.140625" style="0" customWidth="1"/>
    <col min="9" max="9" width="9.57421875" style="0" bestFit="1" customWidth="1"/>
  </cols>
  <sheetData>
    <row r="3" spans="2:3" ht="15.75">
      <c r="B3" s="11" t="s">
        <v>47</v>
      </c>
      <c r="C3" s="11"/>
    </row>
    <row r="4" spans="1:8" ht="15">
      <c r="A4" s="35" t="s">
        <v>6</v>
      </c>
      <c r="B4" s="35"/>
      <c r="C4" s="35"/>
      <c r="D4" s="35"/>
      <c r="E4" s="35"/>
      <c r="F4" s="35"/>
      <c r="G4" s="35"/>
      <c r="H4" s="35"/>
    </row>
    <row r="5" spans="1:8" ht="73.5" customHeight="1">
      <c r="A5" s="28" t="s">
        <v>0</v>
      </c>
      <c r="B5" s="30" t="s">
        <v>1</v>
      </c>
      <c r="C5" s="28" t="s">
        <v>2</v>
      </c>
      <c r="D5" s="28" t="s">
        <v>20</v>
      </c>
      <c r="E5" s="28" t="s">
        <v>21</v>
      </c>
      <c r="F5" s="28" t="s">
        <v>22</v>
      </c>
      <c r="G5" s="28" t="s">
        <v>3</v>
      </c>
      <c r="H5" s="30" t="s">
        <v>4</v>
      </c>
    </row>
    <row r="6" spans="1:8" ht="30" customHeight="1">
      <c r="A6" s="29"/>
      <c r="B6" s="31"/>
      <c r="C6" s="29"/>
      <c r="D6" s="29"/>
      <c r="E6" s="29"/>
      <c r="F6" s="29"/>
      <c r="G6" s="29"/>
      <c r="H6" s="31"/>
    </row>
    <row r="7" spans="1:10" ht="15.75">
      <c r="A7" s="19">
        <v>1</v>
      </c>
      <c r="B7" s="20" t="s">
        <v>24</v>
      </c>
      <c r="C7" s="19"/>
      <c r="D7" s="23">
        <f>117.57</f>
        <v>117.57</v>
      </c>
      <c r="E7" s="23">
        <f>E8*0.0478+0.0032</f>
        <v>62.19519100840001</v>
      </c>
      <c r="F7" s="23">
        <v>0</v>
      </c>
      <c r="G7" s="24">
        <f>61.9956*0.0478</f>
        <v>2.96338968</v>
      </c>
      <c r="H7" s="8">
        <f aca="true" t="shared" si="0" ref="H7:H13">G7/12564.5</f>
        <v>0.0002358541668988022</v>
      </c>
      <c r="J7" s="10"/>
    </row>
    <row r="8" spans="1:10" ht="15">
      <c r="A8" s="3">
        <v>2</v>
      </c>
      <c r="B8" s="4" t="s">
        <v>7</v>
      </c>
      <c r="C8" s="8"/>
      <c r="D8" s="8">
        <f>1198.8</f>
        <v>1198.8</v>
      </c>
      <c r="E8" s="24">
        <f>666.7281-110.890322+715.27+29.98-0.0001</f>
        <v>1301.087678</v>
      </c>
      <c r="F8" s="24">
        <v>0</v>
      </c>
      <c r="G8" s="24">
        <f>D8-E8-F8+4.4591</f>
        <v>-97.82857800000014</v>
      </c>
      <c r="H8" s="8">
        <f t="shared" si="0"/>
        <v>-0.007786109912849707</v>
      </c>
      <c r="J8" s="10"/>
    </row>
    <row r="9" spans="1:10" ht="15">
      <c r="A9" s="3">
        <v>3</v>
      </c>
      <c r="B9" s="4" t="s">
        <v>23</v>
      </c>
      <c r="C9" s="7" t="s">
        <v>48</v>
      </c>
      <c r="D9" s="26">
        <f>14941-13342</f>
        <v>1599</v>
      </c>
      <c r="E9" s="24">
        <f>702.5303-117.088387+832.9+29.97</f>
        <v>1448.311913</v>
      </c>
      <c r="F9" s="24">
        <v>0</v>
      </c>
      <c r="G9" s="24">
        <f>61.9956+0.002</f>
        <v>61.997600000000006</v>
      </c>
      <c r="H9" s="8">
        <f t="shared" si="0"/>
        <v>0.004934346770663378</v>
      </c>
      <c r="J9" s="10"/>
    </row>
    <row r="10" spans="1:8" ht="15">
      <c r="A10" s="3">
        <v>4</v>
      </c>
      <c r="B10" s="4" t="s">
        <v>8</v>
      </c>
      <c r="C10" s="7"/>
      <c r="D10" s="7">
        <f>D8+D9</f>
        <v>2797.8</v>
      </c>
      <c r="E10" s="24">
        <f>1069.4877+1542.52+36.04+100.7519+0.6</f>
        <v>2749.3996</v>
      </c>
      <c r="F10" s="24">
        <f>F8+F9</f>
        <v>0</v>
      </c>
      <c r="G10" s="24">
        <v>0</v>
      </c>
      <c r="H10" s="8">
        <f t="shared" si="0"/>
        <v>0</v>
      </c>
    </row>
    <row r="11" spans="1:8" ht="15">
      <c r="A11" s="32">
        <v>5</v>
      </c>
      <c r="B11" s="4" t="s">
        <v>31</v>
      </c>
      <c r="C11" s="7"/>
      <c r="D11" s="8">
        <f>47470</f>
        <v>47470</v>
      </c>
      <c r="E11" s="27">
        <f>50304</f>
        <v>50304</v>
      </c>
      <c r="F11" s="24">
        <v>0</v>
      </c>
      <c r="G11" s="24">
        <f>D11-E11-F11-0.0011</f>
        <v>-2834.0011</v>
      </c>
      <c r="H11" s="8">
        <f t="shared" si="0"/>
        <v>-0.22555621791555572</v>
      </c>
    </row>
    <row r="12" spans="1:8" ht="15">
      <c r="A12" s="33"/>
      <c r="B12" s="4" t="s">
        <v>32</v>
      </c>
      <c r="C12" s="7"/>
      <c r="D12" s="8">
        <f>18280</f>
        <v>18280</v>
      </c>
      <c r="E12" s="27">
        <f>12789</f>
        <v>12789</v>
      </c>
      <c r="F12" s="24">
        <v>0</v>
      </c>
      <c r="G12" s="24">
        <f>D12-E12-F12+0.0019</f>
        <v>5491.0019</v>
      </c>
      <c r="H12" s="8">
        <f t="shared" si="0"/>
        <v>0.4370251024712484</v>
      </c>
    </row>
    <row r="13" spans="1:8" ht="15">
      <c r="A13" s="34"/>
      <c r="B13" s="14" t="s">
        <v>11</v>
      </c>
      <c r="C13" s="14"/>
      <c r="D13" s="16">
        <f>SUM(D11:D12)</f>
        <v>65750</v>
      </c>
      <c r="E13" s="25">
        <f>SUM(E11:E12)</f>
        <v>63093</v>
      </c>
      <c r="F13" s="25">
        <f>SUM(F11:F12)</f>
        <v>0</v>
      </c>
      <c r="G13" s="25">
        <f>SUM(G11:G12)</f>
        <v>2657.0008000000003</v>
      </c>
      <c r="H13" s="8">
        <f t="shared" si="0"/>
        <v>0.21146888455569265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31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5" sqref="D5:D6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7109375" style="0" customWidth="1"/>
    <col min="5" max="5" width="16.7109375" style="0" customWidth="1"/>
    <col min="6" max="6" width="15.421875" style="0" customWidth="1"/>
    <col min="7" max="7" width="12.7109375" style="0" customWidth="1"/>
    <col min="8" max="8" width="12.140625" style="0" customWidth="1"/>
    <col min="9" max="9" width="9.57421875" style="0" bestFit="1" customWidth="1"/>
  </cols>
  <sheetData>
    <row r="3" spans="2:3" ht="15.75">
      <c r="B3" s="11" t="s">
        <v>49</v>
      </c>
      <c r="C3" s="11"/>
    </row>
    <row r="4" spans="1:8" ht="15">
      <c r="A4" s="35" t="s">
        <v>6</v>
      </c>
      <c r="B4" s="35"/>
      <c r="C4" s="35"/>
      <c r="D4" s="35"/>
      <c r="E4" s="35"/>
      <c r="F4" s="35"/>
      <c r="G4" s="35"/>
      <c r="H4" s="35"/>
    </row>
    <row r="5" spans="1:8" ht="73.5" customHeight="1">
      <c r="A5" s="28" t="s">
        <v>0</v>
      </c>
      <c r="B5" s="30" t="s">
        <v>1</v>
      </c>
      <c r="C5" s="28" t="s">
        <v>2</v>
      </c>
      <c r="D5" s="28" t="s">
        <v>20</v>
      </c>
      <c r="E5" s="28" t="s">
        <v>21</v>
      </c>
      <c r="F5" s="28" t="s">
        <v>22</v>
      </c>
      <c r="G5" s="28" t="s">
        <v>3</v>
      </c>
      <c r="H5" s="30" t="s">
        <v>4</v>
      </c>
    </row>
    <row r="6" spans="1:8" ht="30" customHeight="1">
      <c r="A6" s="29"/>
      <c r="B6" s="31"/>
      <c r="C6" s="29"/>
      <c r="D6" s="29"/>
      <c r="E6" s="29"/>
      <c r="F6" s="29"/>
      <c r="G6" s="29"/>
      <c r="H6" s="31"/>
    </row>
    <row r="7" spans="1:10" ht="15.75">
      <c r="A7" s="19">
        <v>1</v>
      </c>
      <c r="B7" s="20" t="s">
        <v>24</v>
      </c>
      <c r="C7" s="19"/>
      <c r="D7" s="23">
        <f>128.39</f>
        <v>128.39</v>
      </c>
      <c r="E7" s="23">
        <f>E8*0.0478+0.00343</f>
        <v>70.56339999999999</v>
      </c>
      <c r="F7" s="23">
        <v>0</v>
      </c>
      <c r="G7" s="24">
        <f>61.9956*0.0478</f>
        <v>2.96338968</v>
      </c>
      <c r="H7" s="8">
        <f aca="true" t="shared" si="0" ref="H7:H13">G7/12564.5</f>
        <v>0.0002358541668988022</v>
      </c>
      <c r="J7" s="10"/>
    </row>
    <row r="8" spans="1:10" ht="15">
      <c r="A8" s="3">
        <v>2</v>
      </c>
      <c r="B8" s="4" t="s">
        <v>7</v>
      </c>
      <c r="C8" s="8"/>
      <c r="D8" s="8">
        <f>1275</f>
        <v>1275</v>
      </c>
      <c r="E8" s="24">
        <f>746.13-212.8+906.6+36.22</f>
        <v>1476.1499999999999</v>
      </c>
      <c r="F8" s="24">
        <v>0</v>
      </c>
      <c r="G8" s="24">
        <f>D8-E8-F8+8.1336</f>
        <v>-193.01639999999986</v>
      </c>
      <c r="H8" s="8">
        <f t="shared" si="0"/>
        <v>-0.01536204385371482</v>
      </c>
      <c r="J8" s="10"/>
    </row>
    <row r="9" spans="1:10" ht="15">
      <c r="A9" s="3">
        <v>3</v>
      </c>
      <c r="B9" s="4" t="s">
        <v>23</v>
      </c>
      <c r="C9" s="7" t="s">
        <v>50</v>
      </c>
      <c r="D9" s="26">
        <f>16522-14941</f>
        <v>1581</v>
      </c>
      <c r="E9" s="24">
        <f>780.85-223.1+939.05+51.98</f>
        <v>1548.78</v>
      </c>
      <c r="F9" s="24">
        <v>0</v>
      </c>
      <c r="G9" s="24">
        <f>D9-E9-F9-0.001</f>
        <v>32.21900000000003</v>
      </c>
      <c r="H9" s="8">
        <f t="shared" si="0"/>
        <v>0.002564288272513831</v>
      </c>
      <c r="J9" s="10"/>
    </row>
    <row r="10" spans="1:8" ht="15">
      <c r="A10" s="3">
        <v>4</v>
      </c>
      <c r="B10" s="4" t="s">
        <v>8</v>
      </c>
      <c r="C10" s="7"/>
      <c r="D10" s="7">
        <f>D8+D9</f>
        <v>2856</v>
      </c>
      <c r="E10" s="24">
        <f>1018.9+1742.47+197.54+50.5+15.52</f>
        <v>3024.93</v>
      </c>
      <c r="F10" s="24">
        <f>F8+F9</f>
        <v>0</v>
      </c>
      <c r="G10" s="24">
        <v>0</v>
      </c>
      <c r="H10" s="8">
        <f t="shared" si="0"/>
        <v>0</v>
      </c>
    </row>
    <row r="11" spans="1:8" ht="15">
      <c r="A11" s="32">
        <v>5</v>
      </c>
      <c r="B11" s="4" t="s">
        <v>31</v>
      </c>
      <c r="C11" s="7"/>
      <c r="D11" s="8">
        <f>35910</f>
        <v>35910</v>
      </c>
      <c r="E11" s="27">
        <f>31377-2802</f>
        <v>28575</v>
      </c>
      <c r="F11" s="24">
        <v>0</v>
      </c>
      <c r="G11" s="24">
        <f>D11-E11-F11+0.0012</f>
        <v>7335.0012</v>
      </c>
      <c r="H11" s="8">
        <f t="shared" si="0"/>
        <v>0.5837877512037885</v>
      </c>
    </row>
    <row r="12" spans="1:8" ht="15">
      <c r="A12" s="33"/>
      <c r="B12" s="4" t="s">
        <v>32</v>
      </c>
      <c r="C12" s="7"/>
      <c r="D12" s="8">
        <f>13570</f>
        <v>13570</v>
      </c>
      <c r="E12" s="27">
        <f>16666</f>
        <v>16666</v>
      </c>
      <c r="F12" s="24">
        <v>0</v>
      </c>
      <c r="G12" s="24">
        <f>D12-E12-F12</f>
        <v>-3096</v>
      </c>
      <c r="H12" s="8">
        <f t="shared" si="0"/>
        <v>-0.24640853197500895</v>
      </c>
    </row>
    <row r="13" spans="1:8" ht="15">
      <c r="A13" s="34"/>
      <c r="B13" s="14" t="s">
        <v>11</v>
      </c>
      <c r="C13" s="14"/>
      <c r="D13" s="16">
        <f>SUM(D11:D12)</f>
        <v>49480</v>
      </c>
      <c r="E13" s="25">
        <f>SUM(E11:E12)</f>
        <v>45241</v>
      </c>
      <c r="F13" s="25">
        <f>SUM(F11:F12)</f>
        <v>0</v>
      </c>
      <c r="G13" s="25">
        <f>SUM(G11:G12)</f>
        <v>4239.0012</v>
      </c>
      <c r="H13" s="8">
        <f t="shared" si="0"/>
        <v>0.33737921922877945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7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4" sqref="A4:J4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140625" style="0" customWidth="1"/>
    <col min="5" max="5" width="14.7109375" style="0" customWidth="1"/>
    <col min="6" max="6" width="15.7109375" style="0" customWidth="1"/>
    <col min="7" max="7" width="16.7109375" style="0" customWidth="1"/>
    <col min="8" max="8" width="15.421875" style="0" customWidth="1"/>
    <col min="9" max="9" width="12.7109375" style="0" customWidth="1"/>
    <col min="10" max="10" width="12.140625" style="0" customWidth="1"/>
    <col min="11" max="11" width="9.57421875" style="0" bestFit="1" customWidth="1"/>
  </cols>
  <sheetData>
    <row r="3" ht="15.75">
      <c r="C3" s="11" t="s">
        <v>27</v>
      </c>
    </row>
    <row r="4" spans="1:10" ht="15">
      <c r="A4" s="35" t="s">
        <v>6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73.5" customHeight="1">
      <c r="A5" s="28" t="s">
        <v>0</v>
      </c>
      <c r="B5" s="30" t="s">
        <v>1</v>
      </c>
      <c r="C5" s="28" t="s">
        <v>2</v>
      </c>
      <c r="D5" s="36" t="s">
        <v>5</v>
      </c>
      <c r="E5" s="37"/>
      <c r="F5" s="28" t="s">
        <v>20</v>
      </c>
      <c r="G5" s="28" t="s">
        <v>21</v>
      </c>
      <c r="H5" s="28" t="s">
        <v>22</v>
      </c>
      <c r="I5" s="28" t="s">
        <v>3</v>
      </c>
      <c r="J5" s="30" t="s">
        <v>4</v>
      </c>
    </row>
    <row r="6" spans="1:10" ht="30" customHeight="1">
      <c r="A6" s="29"/>
      <c r="B6" s="31"/>
      <c r="C6" s="29"/>
      <c r="D6" s="12" t="s">
        <v>9</v>
      </c>
      <c r="E6" s="5" t="s">
        <v>10</v>
      </c>
      <c r="F6" s="29"/>
      <c r="G6" s="29"/>
      <c r="H6" s="29"/>
      <c r="I6" s="29"/>
      <c r="J6" s="31"/>
    </row>
    <row r="7" spans="1:12" ht="15.75">
      <c r="A7" s="19">
        <v>1</v>
      </c>
      <c r="B7" s="20" t="s">
        <v>24</v>
      </c>
      <c r="C7" s="19"/>
      <c r="D7" s="21"/>
      <c r="E7" s="22"/>
      <c r="F7" s="19">
        <f>107.61</f>
        <v>107.61</v>
      </c>
      <c r="G7" s="23">
        <f>G8*0.0478</f>
        <v>72.07940772</v>
      </c>
      <c r="H7" s="23">
        <v>0</v>
      </c>
      <c r="I7" s="7">
        <f>61.5258*0.0478</f>
        <v>2.94093324</v>
      </c>
      <c r="J7" s="8">
        <f aca="true" t="shared" si="0" ref="J7:J19">I7/12565.3</f>
        <v>0.00023405197169984007</v>
      </c>
      <c r="L7" s="10"/>
    </row>
    <row r="8" spans="1:12" ht="15">
      <c r="A8" s="3">
        <v>2</v>
      </c>
      <c r="B8" s="4" t="s">
        <v>7</v>
      </c>
      <c r="C8" s="8"/>
      <c r="D8" s="6"/>
      <c r="E8" s="6"/>
      <c r="F8" s="8">
        <f>1202.5</f>
        <v>1202.5</v>
      </c>
      <c r="G8" s="7">
        <f>706.2774+706.17+95.49</f>
        <v>1507.9374</v>
      </c>
      <c r="H8" s="7">
        <v>0</v>
      </c>
      <c r="I8" s="7">
        <f>F8-G8-H8</f>
        <v>-305.4374</v>
      </c>
      <c r="J8" s="8">
        <f t="shared" si="0"/>
        <v>-0.024308006971580465</v>
      </c>
      <c r="L8" s="10"/>
    </row>
    <row r="9" spans="1:12" ht="15">
      <c r="A9" s="3">
        <v>3</v>
      </c>
      <c r="B9" s="4" t="s">
        <v>23</v>
      </c>
      <c r="C9" s="7" t="s">
        <v>28</v>
      </c>
      <c r="D9" s="6"/>
      <c r="E9" s="6"/>
      <c r="F9" s="7">
        <f>1561+482</f>
        <v>2043</v>
      </c>
      <c r="G9" s="7">
        <f>812.6097+819.84+16.33</f>
        <v>1648.7797</v>
      </c>
      <c r="H9" s="7">
        <v>0</v>
      </c>
      <c r="I9" s="7">
        <f>61.5258</f>
        <v>61.5258</v>
      </c>
      <c r="J9" s="8">
        <f t="shared" si="0"/>
        <v>0.00489648476359498</v>
      </c>
      <c r="L9" s="10"/>
    </row>
    <row r="10" spans="1:10" ht="15">
      <c r="A10" s="3">
        <v>4</v>
      </c>
      <c r="B10" s="4" t="s">
        <v>8</v>
      </c>
      <c r="C10" s="7"/>
      <c r="D10" s="6"/>
      <c r="E10" s="6"/>
      <c r="F10" s="7">
        <f>F8+F9</f>
        <v>3245.5</v>
      </c>
      <c r="G10" s="7">
        <f>1484.4787+1513.47+91.35+71.5232</f>
        <v>3160.8219</v>
      </c>
      <c r="H10" s="7">
        <f>H8+H9</f>
        <v>0</v>
      </c>
      <c r="I10" s="7">
        <v>0</v>
      </c>
      <c r="J10" s="8">
        <f t="shared" si="0"/>
        <v>0</v>
      </c>
    </row>
    <row r="11" spans="1:10" ht="15">
      <c r="A11" s="32">
        <v>5</v>
      </c>
      <c r="B11" s="4" t="s">
        <v>12</v>
      </c>
      <c r="C11" s="7"/>
      <c r="D11" s="13">
        <v>7620</v>
      </c>
      <c r="E11" s="13">
        <v>7748</v>
      </c>
      <c r="F11" s="8">
        <f>(E11-D11)*10*100%</f>
        <v>1280</v>
      </c>
      <c r="G11" s="7">
        <v>0</v>
      </c>
      <c r="H11" s="7">
        <v>0</v>
      </c>
      <c r="I11" s="7">
        <f aca="true" t="shared" si="1" ref="I11:I16">F11-G11-H11</f>
        <v>1280</v>
      </c>
      <c r="J11" s="8">
        <f t="shared" si="0"/>
        <v>0.10186784239134761</v>
      </c>
    </row>
    <row r="12" spans="1:10" ht="15">
      <c r="A12" s="33"/>
      <c r="B12" s="4" t="s">
        <v>13</v>
      </c>
      <c r="C12" s="7"/>
      <c r="D12" s="13">
        <v>7079</v>
      </c>
      <c r="E12" s="13">
        <v>7193</v>
      </c>
      <c r="F12" s="8">
        <f>(E12-D12)*10*100%</f>
        <v>1140</v>
      </c>
      <c r="G12" s="7">
        <v>0</v>
      </c>
      <c r="H12" s="7">
        <v>0</v>
      </c>
      <c r="I12" s="7">
        <f t="shared" si="1"/>
        <v>1140</v>
      </c>
      <c r="J12" s="8">
        <f t="shared" si="0"/>
        <v>0.09072604712979396</v>
      </c>
    </row>
    <row r="13" spans="1:10" ht="15">
      <c r="A13" s="33"/>
      <c r="B13" s="4" t="s">
        <v>14</v>
      </c>
      <c r="C13" s="7"/>
      <c r="D13" s="13">
        <v>8494</v>
      </c>
      <c r="E13" s="13">
        <v>8605</v>
      </c>
      <c r="F13" s="8">
        <f>(E13-D13)*10*100%</f>
        <v>1110</v>
      </c>
      <c r="G13" s="7">
        <v>0</v>
      </c>
      <c r="H13" s="7">
        <v>0</v>
      </c>
      <c r="I13" s="7">
        <f t="shared" si="1"/>
        <v>1110</v>
      </c>
      <c r="J13" s="8">
        <f t="shared" si="0"/>
        <v>0.08833851957374675</v>
      </c>
    </row>
    <row r="14" spans="1:10" ht="15">
      <c r="A14" s="33"/>
      <c r="B14" s="4" t="s">
        <v>15</v>
      </c>
      <c r="C14" s="7"/>
      <c r="D14" s="13">
        <v>7623</v>
      </c>
      <c r="E14" s="13">
        <v>7727</v>
      </c>
      <c r="F14" s="8">
        <f>(E14-D14)*10*100%</f>
        <v>1040</v>
      </c>
      <c r="G14" s="7">
        <v>0</v>
      </c>
      <c r="H14" s="7">
        <v>0</v>
      </c>
      <c r="I14" s="7">
        <f t="shared" si="1"/>
        <v>1040</v>
      </c>
      <c r="J14" s="8">
        <f t="shared" si="0"/>
        <v>0.08276762194296992</v>
      </c>
    </row>
    <row r="15" spans="1:10" ht="15">
      <c r="A15" s="33"/>
      <c r="B15" s="4" t="s">
        <v>16</v>
      </c>
      <c r="C15" s="7"/>
      <c r="D15" s="13">
        <v>5996</v>
      </c>
      <c r="E15" s="13">
        <v>6079</v>
      </c>
      <c r="F15" s="8">
        <f>(E15-D15)*20*100%</f>
        <v>1660</v>
      </c>
      <c r="G15" s="7">
        <v>0</v>
      </c>
      <c r="H15" s="7">
        <v>0</v>
      </c>
      <c r="I15" s="7">
        <f t="shared" si="1"/>
        <v>1660</v>
      </c>
      <c r="J15" s="8">
        <f t="shared" si="0"/>
        <v>0.13210985810127893</v>
      </c>
    </row>
    <row r="16" spans="1:10" ht="15">
      <c r="A16" s="33"/>
      <c r="B16" s="4" t="s">
        <v>17</v>
      </c>
      <c r="C16" s="7"/>
      <c r="D16" s="13">
        <v>5341</v>
      </c>
      <c r="E16" s="13">
        <v>5407</v>
      </c>
      <c r="F16" s="8">
        <f>(E16-D16)*20*100%</f>
        <v>1320</v>
      </c>
      <c r="G16" s="7">
        <v>0</v>
      </c>
      <c r="H16" s="7">
        <v>0</v>
      </c>
      <c r="I16" s="7">
        <f t="shared" si="1"/>
        <v>1320</v>
      </c>
      <c r="J16" s="8">
        <f t="shared" si="0"/>
        <v>0.10505121246607722</v>
      </c>
    </row>
    <row r="17" spans="1:12" ht="15">
      <c r="A17" s="34"/>
      <c r="B17" s="14" t="s">
        <v>11</v>
      </c>
      <c r="C17" s="14"/>
      <c r="D17" s="15"/>
      <c r="E17" s="14"/>
      <c r="F17" s="16">
        <f>SUM(F11:F16)</f>
        <v>7550</v>
      </c>
      <c r="G17" s="16">
        <f>SUM(G11:G16)</f>
        <v>0</v>
      </c>
      <c r="H17" s="16">
        <f>SUM(H11:H16)</f>
        <v>0</v>
      </c>
      <c r="I17" s="16">
        <f>SUM(I11:I16)</f>
        <v>7550</v>
      </c>
      <c r="J17" s="8">
        <f t="shared" si="0"/>
        <v>0.6008611016052144</v>
      </c>
      <c r="K17" s="9"/>
      <c r="L17" s="10"/>
    </row>
    <row r="18" spans="1:12" ht="15">
      <c r="A18" s="1"/>
      <c r="B18" s="1"/>
      <c r="C18" s="1"/>
      <c r="D18" s="1"/>
      <c r="E18" s="1" t="s">
        <v>19</v>
      </c>
      <c r="F18" s="17">
        <f aca="true" t="shared" si="2" ref="F18:I19">F11+F13+F15</f>
        <v>4050</v>
      </c>
      <c r="G18" s="17">
        <f t="shared" si="2"/>
        <v>0</v>
      </c>
      <c r="H18" s="17">
        <f t="shared" si="2"/>
        <v>0</v>
      </c>
      <c r="I18" s="17">
        <f t="shared" si="2"/>
        <v>4050</v>
      </c>
      <c r="J18" s="8">
        <f t="shared" si="0"/>
        <v>0.3223162200663733</v>
      </c>
      <c r="L18" s="10"/>
    </row>
    <row r="19" spans="1:10" ht="15">
      <c r="A19" s="1"/>
      <c r="B19" s="1"/>
      <c r="C19" s="1"/>
      <c r="D19" s="1"/>
      <c r="E19" s="1" t="s">
        <v>18</v>
      </c>
      <c r="F19" s="18">
        <f t="shared" si="2"/>
        <v>3500</v>
      </c>
      <c r="G19" s="18">
        <f t="shared" si="2"/>
        <v>0</v>
      </c>
      <c r="H19" s="18">
        <f t="shared" si="2"/>
        <v>0</v>
      </c>
      <c r="I19" s="18">
        <f t="shared" si="2"/>
        <v>3500</v>
      </c>
      <c r="J19" s="8">
        <f t="shared" si="0"/>
        <v>0.2785448815388411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1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7109375" style="0" customWidth="1"/>
    <col min="5" max="5" width="16.7109375" style="0" customWidth="1"/>
    <col min="6" max="6" width="15.421875" style="0" customWidth="1"/>
    <col min="7" max="7" width="12.7109375" style="0" customWidth="1"/>
    <col min="8" max="8" width="12.140625" style="0" customWidth="1"/>
    <col min="9" max="9" width="9.57421875" style="0" bestFit="1" customWidth="1"/>
  </cols>
  <sheetData>
    <row r="3" spans="2:3" ht="15.75">
      <c r="B3" s="11" t="s">
        <v>29</v>
      </c>
      <c r="C3" s="11"/>
    </row>
    <row r="4" spans="1:8" ht="15">
      <c r="A4" s="35" t="s">
        <v>6</v>
      </c>
      <c r="B4" s="35"/>
      <c r="C4" s="35"/>
      <c r="D4" s="35"/>
      <c r="E4" s="35"/>
      <c r="F4" s="35"/>
      <c r="G4" s="35"/>
      <c r="H4" s="35"/>
    </row>
    <row r="5" spans="1:8" ht="73.5" customHeight="1">
      <c r="A5" s="28" t="s">
        <v>0</v>
      </c>
      <c r="B5" s="30" t="s">
        <v>1</v>
      </c>
      <c r="C5" s="28" t="s">
        <v>2</v>
      </c>
      <c r="D5" s="28" t="s">
        <v>20</v>
      </c>
      <c r="E5" s="28" t="s">
        <v>21</v>
      </c>
      <c r="F5" s="28" t="s">
        <v>22</v>
      </c>
      <c r="G5" s="28" t="s">
        <v>3</v>
      </c>
      <c r="H5" s="30" t="s">
        <v>4</v>
      </c>
    </row>
    <row r="6" spans="1:8" ht="30" customHeight="1">
      <c r="A6" s="29"/>
      <c r="B6" s="31"/>
      <c r="C6" s="29"/>
      <c r="D6" s="29"/>
      <c r="E6" s="29"/>
      <c r="F6" s="29"/>
      <c r="G6" s="29"/>
      <c r="H6" s="31"/>
    </row>
    <row r="7" spans="1:10" ht="15.75">
      <c r="A7" s="19">
        <v>1</v>
      </c>
      <c r="B7" s="20" t="s">
        <v>24</v>
      </c>
      <c r="C7" s="19"/>
      <c r="D7" s="19">
        <f>122.55</f>
        <v>122.55</v>
      </c>
      <c r="E7" s="23">
        <f>E8*0.0478</f>
        <v>62.3270892</v>
      </c>
      <c r="F7" s="23">
        <v>0</v>
      </c>
      <c r="G7" s="7">
        <f>61.5258*0.0478</f>
        <v>2.94093324</v>
      </c>
      <c r="H7" s="8">
        <f aca="true" t="shared" si="0" ref="H7:H13">G7/12565.3</f>
        <v>0.00023405197169984007</v>
      </c>
      <c r="J7" s="10"/>
    </row>
    <row r="8" spans="1:10" ht="15">
      <c r="A8" s="3">
        <v>2</v>
      </c>
      <c r="B8" s="4" t="s">
        <v>7</v>
      </c>
      <c r="C8" s="8"/>
      <c r="D8" s="8">
        <f>1363.7</f>
        <v>1363.7</v>
      </c>
      <c r="E8" s="7">
        <f>667.665+620.759+15.49</f>
        <v>1303.914</v>
      </c>
      <c r="F8" s="7">
        <v>0</v>
      </c>
      <c r="G8" s="7">
        <f>D8-E8-F8</f>
        <v>59.78600000000006</v>
      </c>
      <c r="H8" s="8">
        <f t="shared" si="0"/>
        <v>0.0047580240821946205</v>
      </c>
      <c r="J8" s="10"/>
    </row>
    <row r="9" spans="1:10" ht="15">
      <c r="A9" s="3">
        <v>3</v>
      </c>
      <c r="B9" s="4" t="s">
        <v>23</v>
      </c>
      <c r="C9" s="7" t="s">
        <v>30</v>
      </c>
      <c r="D9" s="7">
        <f>2522-680</f>
        <v>1842</v>
      </c>
      <c r="E9" s="7">
        <f>788.4483+845.979+28.07</f>
        <v>1662.4973</v>
      </c>
      <c r="F9" s="7">
        <v>0</v>
      </c>
      <c r="G9" s="7">
        <v>61.5258</v>
      </c>
      <c r="H9" s="8">
        <f t="shared" si="0"/>
        <v>0.00489648476359498</v>
      </c>
      <c r="J9" s="10"/>
    </row>
    <row r="10" spans="1:8" ht="15">
      <c r="A10" s="3">
        <v>4</v>
      </c>
      <c r="B10" s="4" t="s">
        <v>8</v>
      </c>
      <c r="C10" s="7"/>
      <c r="D10" s="7">
        <f>D8+D9</f>
        <v>3205.7</v>
      </c>
      <c r="E10" s="7">
        <f>1438.5687+1453.388+27.69+45.8247+0.94</f>
        <v>2966.4114</v>
      </c>
      <c r="F10" s="7">
        <f>F8+F9</f>
        <v>0</v>
      </c>
      <c r="G10" s="7">
        <v>0</v>
      </c>
      <c r="H10" s="8">
        <f t="shared" si="0"/>
        <v>0</v>
      </c>
    </row>
    <row r="11" spans="1:8" ht="15">
      <c r="A11" s="32">
        <v>5</v>
      </c>
      <c r="B11" s="4" t="s">
        <v>31</v>
      </c>
      <c r="C11" s="7"/>
      <c r="D11" s="8">
        <v>53390</v>
      </c>
      <c r="E11" s="7">
        <v>33971.8</v>
      </c>
      <c r="F11" s="7">
        <v>0</v>
      </c>
      <c r="G11" s="7">
        <v>17090.4979</v>
      </c>
      <c r="H11" s="8">
        <f t="shared" si="0"/>
        <v>1.360134489427232</v>
      </c>
    </row>
    <row r="12" spans="1:8" ht="15">
      <c r="A12" s="33"/>
      <c r="B12" s="4" t="s">
        <v>32</v>
      </c>
      <c r="C12" s="7"/>
      <c r="D12" s="8">
        <v>19560</v>
      </c>
      <c r="E12" s="7">
        <v>10044.8</v>
      </c>
      <c r="F12" s="7">
        <v>0</v>
      </c>
      <c r="G12" s="7">
        <v>0</v>
      </c>
      <c r="H12" s="8">
        <f t="shared" si="0"/>
        <v>0</v>
      </c>
    </row>
    <row r="13" spans="1:8" ht="15">
      <c r="A13" s="34"/>
      <c r="B13" s="14" t="s">
        <v>11</v>
      </c>
      <c r="C13" s="14"/>
      <c r="D13" s="16">
        <f>SUM(D11:D12)</f>
        <v>72950</v>
      </c>
      <c r="E13" s="16">
        <f>SUM(E11:E12)</f>
        <v>44016.600000000006</v>
      </c>
      <c r="F13" s="16">
        <f>SUM(F11:F12)</f>
        <v>0</v>
      </c>
      <c r="G13" s="16">
        <f>SUM(G11:G12)</f>
        <v>17090.4979</v>
      </c>
      <c r="H13" s="8">
        <f t="shared" si="0"/>
        <v>1.360134489427232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1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7109375" style="0" customWidth="1"/>
    <col min="5" max="5" width="16.7109375" style="0" customWidth="1"/>
    <col min="6" max="6" width="15.421875" style="0" customWidth="1"/>
    <col min="7" max="7" width="12.7109375" style="0" customWidth="1"/>
    <col min="8" max="8" width="12.140625" style="0" customWidth="1"/>
    <col min="9" max="9" width="9.57421875" style="0" bestFit="1" customWidth="1"/>
  </cols>
  <sheetData>
    <row r="3" spans="2:3" ht="15.75">
      <c r="B3" s="11" t="s">
        <v>33</v>
      </c>
      <c r="C3" s="11"/>
    </row>
    <row r="4" spans="1:8" ht="15">
      <c r="A4" s="35" t="s">
        <v>6</v>
      </c>
      <c r="B4" s="35"/>
      <c r="C4" s="35"/>
      <c r="D4" s="35"/>
      <c r="E4" s="35"/>
      <c r="F4" s="35"/>
      <c r="G4" s="35"/>
      <c r="H4" s="35"/>
    </row>
    <row r="5" spans="1:8" ht="73.5" customHeight="1">
      <c r="A5" s="28" t="s">
        <v>0</v>
      </c>
      <c r="B5" s="30" t="s">
        <v>1</v>
      </c>
      <c r="C5" s="28" t="s">
        <v>2</v>
      </c>
      <c r="D5" s="28" t="s">
        <v>20</v>
      </c>
      <c r="E5" s="28" t="s">
        <v>21</v>
      </c>
      <c r="F5" s="28" t="s">
        <v>22</v>
      </c>
      <c r="G5" s="28" t="s">
        <v>3</v>
      </c>
      <c r="H5" s="30" t="s">
        <v>4</v>
      </c>
    </row>
    <row r="6" spans="1:8" ht="30" customHeight="1">
      <c r="A6" s="29"/>
      <c r="B6" s="31"/>
      <c r="C6" s="29"/>
      <c r="D6" s="29"/>
      <c r="E6" s="29"/>
      <c r="F6" s="29"/>
      <c r="G6" s="29"/>
      <c r="H6" s="31"/>
    </row>
    <row r="7" spans="1:10" ht="15.75">
      <c r="A7" s="19">
        <v>1</v>
      </c>
      <c r="B7" s="20" t="s">
        <v>24</v>
      </c>
      <c r="C7" s="19"/>
      <c r="D7" s="19">
        <f>113.11</f>
        <v>113.11</v>
      </c>
      <c r="E7" s="23">
        <f>E8*0.0478</f>
        <v>62.951567520000005</v>
      </c>
      <c r="F7" s="23">
        <v>0</v>
      </c>
      <c r="G7" s="7">
        <f>61.5258*0.0478</f>
        <v>2.94093324</v>
      </c>
      <c r="H7" s="8">
        <f aca="true" t="shared" si="0" ref="H7:H13">G7/12565.3</f>
        <v>0.00023405197169984007</v>
      </c>
      <c r="J7" s="10"/>
    </row>
    <row r="8" spans="1:10" ht="15">
      <c r="A8" s="3">
        <v>2</v>
      </c>
      <c r="B8" s="4" t="s">
        <v>7</v>
      </c>
      <c r="C8" s="8"/>
      <c r="D8" s="8">
        <f>1312.1</f>
        <v>1312.1</v>
      </c>
      <c r="E8" s="7">
        <f>587.7884+669.5+59.69</f>
        <v>1316.9784</v>
      </c>
      <c r="F8" s="7">
        <v>0</v>
      </c>
      <c r="G8" s="7">
        <f>-4.73</f>
        <v>-4.73</v>
      </c>
      <c r="H8" s="8">
        <f t="shared" si="0"/>
        <v>-0.00037643351133677676</v>
      </c>
      <c r="J8" s="10"/>
    </row>
    <row r="9" spans="1:10" ht="15">
      <c r="A9" s="3">
        <v>3</v>
      </c>
      <c r="B9" s="4" t="s">
        <v>23</v>
      </c>
      <c r="C9" s="7" t="s">
        <v>34</v>
      </c>
      <c r="D9" s="7">
        <f>4209-2522</f>
        <v>1687</v>
      </c>
      <c r="E9" s="7">
        <f>740.4855+859.44+55.58</f>
        <v>1655.5055</v>
      </c>
      <c r="F9" s="7">
        <v>0</v>
      </c>
      <c r="G9" s="7">
        <f>D9-E9-F9</f>
        <v>31.494500000000016</v>
      </c>
      <c r="H9" s="8">
        <f t="shared" si="0"/>
        <v>0.002506466220464296</v>
      </c>
      <c r="J9" s="10"/>
    </row>
    <row r="10" spans="1:8" ht="15">
      <c r="A10" s="3">
        <v>4</v>
      </c>
      <c r="B10" s="4" t="s">
        <v>8</v>
      </c>
      <c r="C10" s="7"/>
      <c r="D10" s="7">
        <f>D8+D9</f>
        <v>2999.1</v>
      </c>
      <c r="E10" s="7">
        <f>1352.7219+1536.6+90.4+32.0858</f>
        <v>3011.8077</v>
      </c>
      <c r="F10" s="7">
        <f>F8+F9</f>
        <v>0</v>
      </c>
      <c r="G10" s="7">
        <v>0</v>
      </c>
      <c r="H10" s="8">
        <f t="shared" si="0"/>
        <v>0</v>
      </c>
    </row>
    <row r="11" spans="1:8" ht="15">
      <c r="A11" s="32">
        <v>5</v>
      </c>
      <c r="B11" s="4" t="s">
        <v>31</v>
      </c>
      <c r="C11" s="7"/>
      <c r="D11" s="8">
        <f>25330</f>
        <v>25330</v>
      </c>
      <c r="E11" s="7">
        <f>35034.2</f>
        <v>35034.2</v>
      </c>
      <c r="F11" s="7">
        <v>0</v>
      </c>
      <c r="G11" s="7">
        <f>-8758.6308</f>
        <v>-8758.6308</v>
      </c>
      <c r="H11" s="8">
        <f t="shared" si="0"/>
        <v>-0.6970490796081272</v>
      </c>
    </row>
    <row r="12" spans="1:8" ht="15">
      <c r="A12" s="33"/>
      <c r="B12" s="4" t="s">
        <v>32</v>
      </c>
      <c r="C12" s="7"/>
      <c r="D12" s="8">
        <f>10850</f>
        <v>10850</v>
      </c>
      <c r="E12" s="7">
        <f>14928.7</f>
        <v>14928.7</v>
      </c>
      <c r="F12" s="7">
        <v>0</v>
      </c>
      <c r="G12" s="7">
        <f>-3907.9094</f>
        <v>-3907.9094</v>
      </c>
      <c r="H12" s="8">
        <f t="shared" si="0"/>
        <v>-0.3110080459678639</v>
      </c>
    </row>
    <row r="13" spans="1:8" ht="15">
      <c r="A13" s="34"/>
      <c r="B13" s="14" t="s">
        <v>11</v>
      </c>
      <c r="C13" s="14"/>
      <c r="D13" s="16">
        <f>SUM(D11:D12)</f>
        <v>36180</v>
      </c>
      <c r="E13" s="16">
        <f>SUM(E11:E12)</f>
        <v>49962.899999999994</v>
      </c>
      <c r="F13" s="16">
        <f>SUM(F11:F12)</f>
        <v>0</v>
      </c>
      <c r="G13" s="16">
        <f>SUM(G11:G12)</f>
        <v>-12666.540200000001</v>
      </c>
      <c r="H13" s="8">
        <f t="shared" si="0"/>
        <v>-1.0080571255759911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1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7109375" style="0" customWidth="1"/>
    <col min="5" max="5" width="16.7109375" style="0" customWidth="1"/>
    <col min="6" max="6" width="15.421875" style="0" customWidth="1"/>
    <col min="7" max="7" width="12.7109375" style="0" customWidth="1"/>
    <col min="8" max="8" width="12.140625" style="0" customWidth="1"/>
    <col min="9" max="9" width="9.57421875" style="0" bestFit="1" customWidth="1"/>
  </cols>
  <sheetData>
    <row r="3" spans="2:3" ht="15.75">
      <c r="B3" s="11" t="s">
        <v>35</v>
      </c>
      <c r="C3" s="11"/>
    </row>
    <row r="4" spans="1:8" ht="15">
      <c r="A4" s="35" t="s">
        <v>6</v>
      </c>
      <c r="B4" s="35"/>
      <c r="C4" s="35"/>
      <c r="D4" s="35"/>
      <c r="E4" s="35"/>
      <c r="F4" s="35"/>
      <c r="G4" s="35"/>
      <c r="H4" s="35"/>
    </row>
    <row r="5" spans="1:8" ht="73.5" customHeight="1">
      <c r="A5" s="28" t="s">
        <v>0</v>
      </c>
      <c r="B5" s="30" t="s">
        <v>1</v>
      </c>
      <c r="C5" s="28" t="s">
        <v>2</v>
      </c>
      <c r="D5" s="28" t="s">
        <v>20</v>
      </c>
      <c r="E5" s="28" t="s">
        <v>21</v>
      </c>
      <c r="F5" s="28" t="s">
        <v>22</v>
      </c>
      <c r="G5" s="28" t="s">
        <v>3</v>
      </c>
      <c r="H5" s="30" t="s">
        <v>4</v>
      </c>
    </row>
    <row r="6" spans="1:8" ht="30" customHeight="1">
      <c r="A6" s="29"/>
      <c r="B6" s="31"/>
      <c r="C6" s="29"/>
      <c r="D6" s="29"/>
      <c r="E6" s="29"/>
      <c r="F6" s="29"/>
      <c r="G6" s="29"/>
      <c r="H6" s="31"/>
    </row>
    <row r="7" spans="1:10" ht="15.75">
      <c r="A7" s="19">
        <v>1</v>
      </c>
      <c r="B7" s="20" t="s">
        <v>24</v>
      </c>
      <c r="C7" s="19"/>
      <c r="D7" s="19">
        <f>98.04</f>
        <v>98.04</v>
      </c>
      <c r="E7" s="23">
        <f>E8*0.0478+0.005</f>
        <v>59.418612280000005</v>
      </c>
      <c r="F7" s="23">
        <v>0</v>
      </c>
      <c r="G7" s="7">
        <f>61.5258*0.0478+0.001</f>
        <v>2.94193324</v>
      </c>
      <c r="H7" s="8">
        <f aca="true" t="shared" si="0" ref="H7:H13">G7/12565.3</f>
        <v>0.00023413155595170828</v>
      </c>
      <c r="J7" s="10"/>
    </row>
    <row r="8" spans="1:10" ht="15">
      <c r="A8" s="3">
        <v>2</v>
      </c>
      <c r="B8" s="4" t="s">
        <v>7</v>
      </c>
      <c r="C8" s="8"/>
      <c r="D8" s="8">
        <f>1377</f>
        <v>1377</v>
      </c>
      <c r="E8" s="7">
        <f>833.196-75.5734+464.12+21.22</f>
        <v>1242.9626</v>
      </c>
      <c r="F8" s="7">
        <v>0</v>
      </c>
      <c r="G8" s="7">
        <f>61.5258</f>
        <v>61.5258</v>
      </c>
      <c r="H8" s="8">
        <f t="shared" si="0"/>
        <v>0.00489648476359498</v>
      </c>
      <c r="J8" s="10"/>
    </row>
    <row r="9" spans="1:10" ht="15">
      <c r="A9" s="3">
        <v>3</v>
      </c>
      <c r="B9" s="4" t="s">
        <v>23</v>
      </c>
      <c r="C9" s="7" t="s">
        <v>36</v>
      </c>
      <c r="D9" s="7">
        <f>6016-4209</f>
        <v>1807</v>
      </c>
      <c r="E9" s="7">
        <f>752.596-67.776+0.0006+749.71+22.9</f>
        <v>1457.4306000000001</v>
      </c>
      <c r="F9" s="7">
        <v>0</v>
      </c>
      <c r="G9" s="7">
        <f>61.5258</f>
        <v>61.5258</v>
      </c>
      <c r="H9" s="8">
        <f t="shared" si="0"/>
        <v>0.00489648476359498</v>
      </c>
      <c r="J9" s="10"/>
    </row>
    <row r="10" spans="1:8" ht="15">
      <c r="A10" s="3">
        <v>4</v>
      </c>
      <c r="B10" s="4" t="s">
        <v>8</v>
      </c>
      <c r="C10" s="7"/>
      <c r="D10" s="7">
        <f>D8+D9</f>
        <v>3184</v>
      </c>
      <c r="E10" s="7">
        <f>1386.8479-143.3494+1079+22.83+328.056+3.77+23.2387</f>
        <v>2700.3931999999995</v>
      </c>
      <c r="F10" s="7">
        <f>F8+F9</f>
        <v>0</v>
      </c>
      <c r="G10" s="7">
        <v>0</v>
      </c>
      <c r="H10" s="8">
        <f t="shared" si="0"/>
        <v>0</v>
      </c>
    </row>
    <row r="11" spans="1:8" ht="15">
      <c r="A11" s="32">
        <v>5</v>
      </c>
      <c r="B11" s="4" t="s">
        <v>31</v>
      </c>
      <c r="C11" s="7"/>
      <c r="D11" s="8">
        <f>40440</f>
        <v>40440</v>
      </c>
      <c r="E11" s="7">
        <v>26981</v>
      </c>
      <c r="F11" s="7">
        <v>0</v>
      </c>
      <c r="G11" s="7">
        <f>13459.0002</f>
        <v>13459.0002</v>
      </c>
      <c r="H11" s="8">
        <f t="shared" si="0"/>
        <v>1.0711244618114968</v>
      </c>
    </row>
    <row r="12" spans="1:8" ht="15">
      <c r="A12" s="33"/>
      <c r="B12" s="4" t="s">
        <v>32</v>
      </c>
      <c r="C12" s="7"/>
      <c r="D12" s="8">
        <f>16340</f>
        <v>16340</v>
      </c>
      <c r="E12" s="7">
        <f>9557</f>
        <v>9557</v>
      </c>
      <c r="F12" s="7">
        <v>0</v>
      </c>
      <c r="G12" s="7">
        <f>3631.5002</f>
        <v>3631.5002</v>
      </c>
      <c r="H12" s="8">
        <f t="shared" si="0"/>
        <v>0.2890102265763651</v>
      </c>
    </row>
    <row r="13" spans="1:8" ht="15">
      <c r="A13" s="34"/>
      <c r="B13" s="14" t="s">
        <v>11</v>
      </c>
      <c r="C13" s="14"/>
      <c r="D13" s="16">
        <f>SUM(D11:D12)</f>
        <v>56780</v>
      </c>
      <c r="E13" s="16">
        <f>SUM(E11:E12)</f>
        <v>36538</v>
      </c>
      <c r="F13" s="16">
        <f>SUM(F11:F12)</f>
        <v>0</v>
      </c>
      <c r="G13" s="16">
        <f>SUM(G11:G12)</f>
        <v>17090.5004</v>
      </c>
      <c r="H13" s="8">
        <f t="shared" si="0"/>
        <v>1.360134688387862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1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8" sqref="C8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7109375" style="0" customWidth="1"/>
    <col min="5" max="5" width="16.7109375" style="0" customWidth="1"/>
    <col min="6" max="6" width="15.421875" style="0" customWidth="1"/>
    <col min="7" max="7" width="12.7109375" style="0" customWidth="1"/>
    <col min="8" max="8" width="12.140625" style="0" customWidth="1"/>
    <col min="9" max="9" width="9.57421875" style="0" bestFit="1" customWidth="1"/>
  </cols>
  <sheetData>
    <row r="3" spans="2:3" ht="15.75">
      <c r="B3" s="11" t="s">
        <v>37</v>
      </c>
      <c r="C3" s="11"/>
    </row>
    <row r="4" spans="1:8" ht="15">
      <c r="A4" s="35" t="s">
        <v>6</v>
      </c>
      <c r="B4" s="35"/>
      <c r="C4" s="35"/>
      <c r="D4" s="35"/>
      <c r="E4" s="35"/>
      <c r="F4" s="35"/>
      <c r="G4" s="35"/>
      <c r="H4" s="35"/>
    </row>
    <row r="5" spans="1:8" ht="73.5" customHeight="1">
      <c r="A5" s="28" t="s">
        <v>0</v>
      </c>
      <c r="B5" s="30" t="s">
        <v>1</v>
      </c>
      <c r="C5" s="28" t="s">
        <v>2</v>
      </c>
      <c r="D5" s="28" t="s">
        <v>20</v>
      </c>
      <c r="E5" s="28" t="s">
        <v>21</v>
      </c>
      <c r="F5" s="28" t="s">
        <v>22</v>
      </c>
      <c r="G5" s="28" t="s">
        <v>3</v>
      </c>
      <c r="H5" s="30" t="s">
        <v>4</v>
      </c>
    </row>
    <row r="6" spans="1:8" ht="30" customHeight="1">
      <c r="A6" s="29"/>
      <c r="B6" s="31"/>
      <c r="C6" s="29"/>
      <c r="D6" s="29"/>
      <c r="E6" s="29"/>
      <c r="F6" s="29"/>
      <c r="G6" s="29"/>
      <c r="H6" s="31"/>
    </row>
    <row r="7" spans="1:10" ht="15.75">
      <c r="A7" s="19">
        <v>1</v>
      </c>
      <c r="B7" s="20" t="s">
        <v>24</v>
      </c>
      <c r="C7" s="19"/>
      <c r="D7" s="19">
        <f>74.98</f>
        <v>74.98</v>
      </c>
      <c r="E7" s="23">
        <f>E8*0.0478+0.004</f>
        <v>58.905239300000005</v>
      </c>
      <c r="F7" s="23">
        <v>0</v>
      </c>
      <c r="G7" s="7">
        <f>61.9956*0.0478+0.0002</f>
        <v>2.96358968</v>
      </c>
      <c r="H7" s="8">
        <f aca="true" t="shared" si="0" ref="H7:H13">G7/12565.3</f>
        <v>0.00023585506752723775</v>
      </c>
      <c r="J7" s="10"/>
    </row>
    <row r="8" spans="1:10" ht="15">
      <c r="A8" s="3">
        <v>2</v>
      </c>
      <c r="B8" s="4" t="s">
        <v>7</v>
      </c>
      <c r="C8" s="8"/>
      <c r="D8" s="8">
        <f>1112</f>
        <v>1112</v>
      </c>
      <c r="E8" s="7">
        <f>819.2516-136.2581+517.77+31.48</f>
        <v>1232.2435</v>
      </c>
      <c r="F8" s="7">
        <v>0</v>
      </c>
      <c r="G8" s="7">
        <f>D8-E8-F8-0.0001+10.2189</f>
        <v>-110.02470000000004</v>
      </c>
      <c r="H8" s="8">
        <f t="shared" si="0"/>
        <v>-0.008756233436527584</v>
      </c>
      <c r="J8" s="10"/>
    </row>
    <row r="9" spans="1:10" ht="15">
      <c r="A9" s="3">
        <v>3</v>
      </c>
      <c r="B9" s="4" t="s">
        <v>23</v>
      </c>
      <c r="C9" s="7" t="s">
        <v>38</v>
      </c>
      <c r="D9" s="7">
        <f>7700-6016</f>
        <v>1684</v>
      </c>
      <c r="E9" s="7">
        <f>819.869-12.7664-134.5171+800.84+48.14</f>
        <v>1521.5655000000002</v>
      </c>
      <c r="F9" s="7">
        <v>0</v>
      </c>
      <c r="G9" s="7">
        <f>61.9956-0.0003</f>
        <v>61.9953</v>
      </c>
      <c r="H9" s="8">
        <f t="shared" si="0"/>
        <v>0.004933849569847119</v>
      </c>
      <c r="J9" s="10"/>
    </row>
    <row r="10" spans="1:8" ht="15">
      <c r="A10" s="3">
        <v>4</v>
      </c>
      <c r="B10" s="4" t="s">
        <v>8</v>
      </c>
      <c r="C10" s="7"/>
      <c r="D10" s="7">
        <f>D8+D9</f>
        <v>2796</v>
      </c>
      <c r="E10" s="7">
        <f>1454.9384-270.7752+1196.44+60.27+294.1823+4.58+14.1735</f>
        <v>2753.8089999999997</v>
      </c>
      <c r="F10" s="7">
        <f>F8+F9</f>
        <v>0</v>
      </c>
      <c r="G10" s="7">
        <v>0</v>
      </c>
      <c r="H10" s="8">
        <f t="shared" si="0"/>
        <v>0</v>
      </c>
    </row>
    <row r="11" spans="1:8" ht="15">
      <c r="A11" s="32">
        <v>5</v>
      </c>
      <c r="B11" s="4" t="s">
        <v>31</v>
      </c>
      <c r="C11" s="7"/>
      <c r="D11" s="8">
        <f>36010</f>
        <v>36010</v>
      </c>
      <c r="E11" s="7">
        <f>33118</f>
        <v>33118</v>
      </c>
      <c r="F11" s="7">
        <v>0</v>
      </c>
      <c r="G11" s="7">
        <f>D11-E11-F11-0.0001</f>
        <v>2891.9999</v>
      </c>
      <c r="H11" s="8">
        <f t="shared" si="0"/>
        <v>0.2301576484445258</v>
      </c>
    </row>
    <row r="12" spans="1:8" ht="15">
      <c r="A12" s="33"/>
      <c r="B12" s="4" t="s">
        <v>32</v>
      </c>
      <c r="C12" s="7"/>
      <c r="D12" s="8">
        <f>15760</f>
        <v>15760</v>
      </c>
      <c r="E12" s="7">
        <f>10719</f>
        <v>10719</v>
      </c>
      <c r="F12" s="7">
        <v>0</v>
      </c>
      <c r="G12" s="7">
        <f>D12-E12-F12+0.0005</f>
        <v>5041.0005</v>
      </c>
      <c r="H12" s="8">
        <f t="shared" si="0"/>
        <v>0.40118425345992537</v>
      </c>
    </row>
    <row r="13" spans="1:8" ht="15">
      <c r="A13" s="34"/>
      <c r="B13" s="14" t="s">
        <v>11</v>
      </c>
      <c r="C13" s="14"/>
      <c r="D13" s="16">
        <f>SUM(D11:D12)</f>
        <v>51770</v>
      </c>
      <c r="E13" s="16">
        <f>SUM(E11:E12)</f>
        <v>43837</v>
      </c>
      <c r="F13" s="16">
        <f>SUM(F11:F12)</f>
        <v>0</v>
      </c>
      <c r="G13" s="16">
        <f>SUM(G11:G12)</f>
        <v>7933.0004</v>
      </c>
      <c r="H13" s="8">
        <f t="shared" si="0"/>
        <v>0.6313419019044512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1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7109375" style="0" customWidth="1"/>
    <col min="5" max="5" width="16.7109375" style="0" customWidth="1"/>
    <col min="6" max="6" width="15.421875" style="0" customWidth="1"/>
    <col min="7" max="7" width="12.7109375" style="0" customWidth="1"/>
    <col min="8" max="8" width="12.140625" style="0" customWidth="1"/>
    <col min="9" max="9" width="9.57421875" style="0" bestFit="1" customWidth="1"/>
  </cols>
  <sheetData>
    <row r="3" spans="2:3" ht="15.75">
      <c r="B3" s="11" t="s">
        <v>39</v>
      </c>
      <c r="C3" s="11"/>
    </row>
    <row r="4" spans="1:8" ht="15">
      <c r="A4" s="35" t="s">
        <v>6</v>
      </c>
      <c r="B4" s="35"/>
      <c r="C4" s="35"/>
      <c r="D4" s="35"/>
      <c r="E4" s="35"/>
      <c r="F4" s="35"/>
      <c r="G4" s="35"/>
      <c r="H4" s="35"/>
    </row>
    <row r="5" spans="1:8" ht="73.5" customHeight="1">
      <c r="A5" s="28" t="s">
        <v>0</v>
      </c>
      <c r="B5" s="30" t="s">
        <v>1</v>
      </c>
      <c r="C5" s="28" t="s">
        <v>2</v>
      </c>
      <c r="D5" s="28" t="s">
        <v>20</v>
      </c>
      <c r="E5" s="28" t="s">
        <v>21</v>
      </c>
      <c r="F5" s="28" t="s">
        <v>22</v>
      </c>
      <c r="G5" s="28" t="s">
        <v>3</v>
      </c>
      <c r="H5" s="30" t="s">
        <v>4</v>
      </c>
    </row>
    <row r="6" spans="1:8" ht="30" customHeight="1">
      <c r="A6" s="29"/>
      <c r="B6" s="31"/>
      <c r="C6" s="29"/>
      <c r="D6" s="29"/>
      <c r="E6" s="29"/>
      <c r="F6" s="29"/>
      <c r="G6" s="29"/>
      <c r="H6" s="31"/>
    </row>
    <row r="7" spans="1:10" ht="15.75">
      <c r="A7" s="19">
        <v>1</v>
      </c>
      <c r="B7" s="20" t="s">
        <v>24</v>
      </c>
      <c r="C7" s="19"/>
      <c r="D7" s="23">
        <f>81.39+3.41</f>
        <v>84.8</v>
      </c>
      <c r="E7" s="23">
        <f>E8*0.0478-0.0062+0.011</f>
        <v>55.589689639999996</v>
      </c>
      <c r="F7" s="23">
        <v>0</v>
      </c>
      <c r="G7" s="24">
        <f>G8*0.0478+0.0002</f>
        <v>2.9635753400000002</v>
      </c>
      <c r="H7" s="8">
        <f aca="true" t="shared" si="0" ref="H7:H13">G7/12565.3</f>
        <v>0.00023585392628906596</v>
      </c>
      <c r="J7" s="10"/>
    </row>
    <row r="8" spans="1:10" ht="15">
      <c r="A8" s="3">
        <v>2</v>
      </c>
      <c r="B8" s="4" t="s">
        <v>7</v>
      </c>
      <c r="C8" s="8"/>
      <c r="D8" s="8">
        <f>1165.8+71.02</f>
        <v>1236.82</v>
      </c>
      <c r="E8" s="24">
        <f>744.4639+525.57+16.65-123.8194-0.0007</f>
        <v>1162.8637999999999</v>
      </c>
      <c r="F8" s="24">
        <v>0</v>
      </c>
      <c r="G8" s="24">
        <f>61.9956-0.0003</f>
        <v>61.9953</v>
      </c>
      <c r="H8" s="8">
        <f t="shared" si="0"/>
        <v>0.004933849569847119</v>
      </c>
      <c r="J8" s="10"/>
    </row>
    <row r="9" spans="1:10" ht="15">
      <c r="A9" s="3">
        <v>3</v>
      </c>
      <c r="B9" s="4" t="s">
        <v>23</v>
      </c>
      <c r="C9" s="7" t="s">
        <v>40</v>
      </c>
      <c r="D9" s="7">
        <f>9446-7700</f>
        <v>1746</v>
      </c>
      <c r="E9" s="24">
        <f>768.24+864.39+54.78-128.04</f>
        <v>1559.3700000000001</v>
      </c>
      <c r="F9" s="24">
        <v>0</v>
      </c>
      <c r="G9" s="24">
        <f>61.9956-0.0003</f>
        <v>61.9953</v>
      </c>
      <c r="H9" s="8">
        <f t="shared" si="0"/>
        <v>0.004933849569847119</v>
      </c>
      <c r="J9" s="10"/>
    </row>
    <row r="10" spans="1:8" ht="15">
      <c r="A10" s="3">
        <v>4</v>
      </c>
      <c r="B10" s="4" t="s">
        <v>8</v>
      </c>
      <c r="C10" s="7"/>
      <c r="D10" s="7">
        <f>D8+D9</f>
        <v>2982.8199999999997</v>
      </c>
      <c r="E10" s="24">
        <f>1152.4472+1303.2+37.76+224.1861+4.6432</f>
        <v>2722.2365000000004</v>
      </c>
      <c r="F10" s="24">
        <f>F8+F9</f>
        <v>0</v>
      </c>
      <c r="G10" s="24">
        <v>0</v>
      </c>
      <c r="H10" s="8">
        <f t="shared" si="0"/>
        <v>0</v>
      </c>
    </row>
    <row r="11" spans="1:8" ht="15">
      <c r="A11" s="32">
        <v>5</v>
      </c>
      <c r="B11" s="4" t="s">
        <v>31</v>
      </c>
      <c r="C11" s="7"/>
      <c r="D11" s="8">
        <f>43430</f>
        <v>43430</v>
      </c>
      <c r="E11" s="24">
        <f>29915</f>
        <v>29915</v>
      </c>
      <c r="F11" s="24">
        <v>0</v>
      </c>
      <c r="G11" s="24">
        <f>D11-E11-F11-0.0001</f>
        <v>13514.9999</v>
      </c>
      <c r="H11" s="8">
        <f t="shared" si="0"/>
        <v>1.0755811560408428</v>
      </c>
    </row>
    <row r="12" spans="1:8" ht="15">
      <c r="A12" s="33"/>
      <c r="B12" s="4" t="s">
        <v>32</v>
      </c>
      <c r="C12" s="7"/>
      <c r="D12" s="8">
        <f>16310</f>
        <v>16310</v>
      </c>
      <c r="E12" s="24">
        <f>10029</f>
        <v>10029</v>
      </c>
      <c r="F12" s="24">
        <v>0</v>
      </c>
      <c r="G12" s="24">
        <f>3706+0.0005</f>
        <v>3706.0005</v>
      </c>
      <c r="H12" s="8">
        <f t="shared" si="0"/>
        <v>0.2949392772158246</v>
      </c>
    </row>
    <row r="13" spans="1:8" ht="15">
      <c r="A13" s="34"/>
      <c r="B13" s="14" t="s">
        <v>11</v>
      </c>
      <c r="C13" s="14"/>
      <c r="D13" s="16">
        <f>SUM(D11:D12)</f>
        <v>59740</v>
      </c>
      <c r="E13" s="25">
        <f>SUM(E11:E12)</f>
        <v>39944</v>
      </c>
      <c r="F13" s="25">
        <f>SUM(F11:F12)</f>
        <v>0</v>
      </c>
      <c r="G13" s="25">
        <f>SUM(G11:G12)</f>
        <v>17221.0004</v>
      </c>
      <c r="H13" s="8">
        <f t="shared" si="0"/>
        <v>1.3705204332566674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31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7" sqref="B7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7109375" style="0" customWidth="1"/>
    <col min="5" max="5" width="16.7109375" style="0" customWidth="1"/>
    <col min="6" max="6" width="15.421875" style="0" customWidth="1"/>
    <col min="7" max="7" width="12.7109375" style="0" customWidth="1"/>
    <col min="8" max="8" width="12.140625" style="0" customWidth="1"/>
    <col min="9" max="9" width="9.57421875" style="0" bestFit="1" customWidth="1"/>
  </cols>
  <sheetData>
    <row r="3" spans="2:3" ht="15.75">
      <c r="B3" s="11" t="s">
        <v>41</v>
      </c>
      <c r="C3" s="11"/>
    </row>
    <row r="4" spans="1:8" ht="15">
      <c r="A4" s="35" t="s">
        <v>6</v>
      </c>
      <c r="B4" s="35"/>
      <c r="C4" s="35"/>
      <c r="D4" s="35"/>
      <c r="E4" s="35"/>
      <c r="F4" s="35"/>
      <c r="G4" s="35"/>
      <c r="H4" s="35"/>
    </row>
    <row r="5" spans="1:8" ht="73.5" customHeight="1">
      <c r="A5" s="28" t="s">
        <v>0</v>
      </c>
      <c r="B5" s="30" t="s">
        <v>1</v>
      </c>
      <c r="C5" s="28" t="s">
        <v>2</v>
      </c>
      <c r="D5" s="28" t="s">
        <v>20</v>
      </c>
      <c r="E5" s="28" t="s">
        <v>21</v>
      </c>
      <c r="F5" s="28" t="s">
        <v>22</v>
      </c>
      <c r="G5" s="28" t="s">
        <v>3</v>
      </c>
      <c r="H5" s="30" t="s">
        <v>4</v>
      </c>
    </row>
    <row r="6" spans="1:8" ht="30" customHeight="1">
      <c r="A6" s="29"/>
      <c r="B6" s="31"/>
      <c r="C6" s="29"/>
      <c r="D6" s="29"/>
      <c r="E6" s="29"/>
      <c r="F6" s="29"/>
      <c r="G6" s="29"/>
      <c r="H6" s="31"/>
    </row>
    <row r="7" spans="1:10" ht="15.75">
      <c r="A7" s="19">
        <v>1</v>
      </c>
      <c r="B7" s="20" t="s">
        <v>24</v>
      </c>
      <c r="C7" s="19"/>
      <c r="D7" s="23">
        <f>109.22</f>
        <v>109.22</v>
      </c>
      <c r="E7" s="23">
        <f>E8*0.0478+0.0039</f>
        <v>63.23319665740001</v>
      </c>
      <c r="F7" s="23">
        <v>0</v>
      </c>
      <c r="G7" s="24">
        <f>61.9956*0.0478</f>
        <v>2.96338968</v>
      </c>
      <c r="H7" s="8">
        <f>G7/12564.5</f>
        <v>0.0002358541668988022</v>
      </c>
      <c r="J7" s="10"/>
    </row>
    <row r="8" spans="1:10" ht="15">
      <c r="A8" s="3">
        <v>2</v>
      </c>
      <c r="B8" s="4" t="s">
        <v>7</v>
      </c>
      <c r="C8" s="8"/>
      <c r="D8" s="8">
        <f>1361.6</f>
        <v>1361.6</v>
      </c>
      <c r="E8" s="24">
        <f>757.7353-126.026667+599.82+91.26</f>
        <v>1322.7886330000001</v>
      </c>
      <c r="F8" s="24">
        <v>0</v>
      </c>
      <c r="G8" s="24">
        <f>D8-E8-F8+0.0027</f>
        <v>38.81406699999979</v>
      </c>
      <c r="H8" s="8">
        <f aca="true" t="shared" si="0" ref="H8:H13">G8/12564.5</f>
        <v>0.0030891851645509006</v>
      </c>
      <c r="J8" s="10"/>
    </row>
    <row r="9" spans="1:10" ht="15">
      <c r="A9" s="3">
        <v>3</v>
      </c>
      <c r="B9" s="4" t="s">
        <v>23</v>
      </c>
      <c r="C9" s="7" t="s">
        <v>42</v>
      </c>
      <c r="D9" s="7">
        <f>10887-9446</f>
        <v>1441</v>
      </c>
      <c r="E9" s="24">
        <f>771.344-128.557333+779.8+40.85</f>
        <v>1463.436667</v>
      </c>
      <c r="F9" s="24">
        <v>0</v>
      </c>
      <c r="G9" s="24">
        <f>D9-E9-F9+1.1005</f>
        <v>-21.336166999999943</v>
      </c>
      <c r="H9" s="8">
        <f t="shared" si="0"/>
        <v>-0.0016981310040192561</v>
      </c>
      <c r="J9" s="10"/>
    </row>
    <row r="10" spans="1:8" ht="15">
      <c r="A10" s="3">
        <v>4</v>
      </c>
      <c r="B10" s="4" t="s">
        <v>8</v>
      </c>
      <c r="C10" s="7"/>
      <c r="D10" s="7">
        <f>D8+D9</f>
        <v>2802.6</v>
      </c>
      <c r="E10" s="24">
        <f>1174.2453+1293.35+97.12+218.87+2.64</f>
        <v>2786.2252999999996</v>
      </c>
      <c r="F10" s="24">
        <f>F8+F9</f>
        <v>0</v>
      </c>
      <c r="G10" s="24">
        <v>0</v>
      </c>
      <c r="H10" s="8">
        <f t="shared" si="0"/>
        <v>0</v>
      </c>
    </row>
    <row r="11" spans="1:8" ht="15">
      <c r="A11" s="32">
        <v>5</v>
      </c>
      <c r="B11" s="4" t="s">
        <v>31</v>
      </c>
      <c r="C11" s="7"/>
      <c r="D11" s="8">
        <f>30100</f>
        <v>30100</v>
      </c>
      <c r="E11" s="24">
        <f>27053</f>
        <v>27053</v>
      </c>
      <c r="F11" s="24">
        <v>0</v>
      </c>
      <c r="G11" s="24">
        <f>D11-E11-F11-0.0011</f>
        <v>3046.9989</v>
      </c>
      <c r="H11" s="8">
        <f t="shared" si="0"/>
        <v>0.24250856779020255</v>
      </c>
    </row>
    <row r="12" spans="1:8" ht="15">
      <c r="A12" s="33"/>
      <c r="B12" s="4" t="s">
        <v>32</v>
      </c>
      <c r="C12" s="7"/>
      <c r="D12" s="8">
        <v>17300</v>
      </c>
      <c r="E12" s="24">
        <f>10535</f>
        <v>10535</v>
      </c>
      <c r="F12" s="24">
        <v>0</v>
      </c>
      <c r="G12" s="24">
        <f>D12-E12-F12+0.0011</f>
        <v>6765.0011</v>
      </c>
      <c r="H12" s="8">
        <f t="shared" si="0"/>
        <v>0.5384218313502328</v>
      </c>
    </row>
    <row r="13" spans="1:8" ht="15">
      <c r="A13" s="34"/>
      <c r="B13" s="14" t="s">
        <v>11</v>
      </c>
      <c r="C13" s="14"/>
      <c r="D13" s="16">
        <f>SUM(D11:D12)</f>
        <v>47400</v>
      </c>
      <c r="E13" s="25">
        <f>SUM(E11:E12)</f>
        <v>37588</v>
      </c>
      <c r="F13" s="25">
        <f>SUM(F11:F12)</f>
        <v>0</v>
      </c>
      <c r="G13" s="25">
        <f>SUM(G11:G12)</f>
        <v>9812</v>
      </c>
      <c r="H13" s="8">
        <f t="shared" si="0"/>
        <v>0.7809303991404354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31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17.57421875" style="0" customWidth="1"/>
    <col min="4" max="4" width="15.7109375" style="0" customWidth="1"/>
    <col min="5" max="5" width="16.7109375" style="0" customWidth="1"/>
    <col min="6" max="6" width="15.421875" style="0" customWidth="1"/>
    <col min="7" max="7" width="12.7109375" style="0" customWidth="1"/>
    <col min="8" max="8" width="12.140625" style="0" customWidth="1"/>
    <col min="9" max="9" width="9.57421875" style="0" bestFit="1" customWidth="1"/>
  </cols>
  <sheetData>
    <row r="3" spans="2:3" ht="15.75">
      <c r="B3" s="11" t="s">
        <v>43</v>
      </c>
      <c r="C3" s="11"/>
    </row>
    <row r="4" spans="1:8" ht="15">
      <c r="A4" s="35" t="s">
        <v>6</v>
      </c>
      <c r="B4" s="35"/>
      <c r="C4" s="35"/>
      <c r="D4" s="35"/>
      <c r="E4" s="35"/>
      <c r="F4" s="35"/>
      <c r="G4" s="35"/>
      <c r="H4" s="35"/>
    </row>
    <row r="5" spans="1:8" ht="73.5" customHeight="1">
      <c r="A5" s="28" t="s">
        <v>0</v>
      </c>
      <c r="B5" s="30" t="s">
        <v>1</v>
      </c>
      <c r="C5" s="28" t="s">
        <v>2</v>
      </c>
      <c r="D5" s="28" t="s">
        <v>20</v>
      </c>
      <c r="E5" s="28" t="s">
        <v>21</v>
      </c>
      <c r="F5" s="28" t="s">
        <v>22</v>
      </c>
      <c r="G5" s="28" t="s">
        <v>3</v>
      </c>
      <c r="H5" s="30" t="s">
        <v>4</v>
      </c>
    </row>
    <row r="6" spans="1:8" ht="30" customHeight="1">
      <c r="A6" s="29"/>
      <c r="B6" s="31"/>
      <c r="C6" s="29"/>
      <c r="D6" s="29"/>
      <c r="E6" s="29"/>
      <c r="F6" s="29"/>
      <c r="G6" s="29"/>
      <c r="H6" s="31"/>
    </row>
    <row r="7" spans="1:10" ht="15.75">
      <c r="A7" s="19">
        <v>1</v>
      </c>
      <c r="B7" s="20" t="s">
        <v>24</v>
      </c>
      <c r="C7" s="19"/>
      <c r="D7" s="23">
        <f>88.41+3.54</f>
        <v>91.95</v>
      </c>
      <c r="E7" s="23">
        <f>E8*0.0478+0.0033</f>
        <v>64.02811676139999</v>
      </c>
      <c r="F7" s="23">
        <v>0</v>
      </c>
      <c r="G7" s="24">
        <f>61.9956*0.0478</f>
        <v>2.96338968</v>
      </c>
      <c r="H7" s="8">
        <f aca="true" t="shared" si="0" ref="H7:H13">G7/12564.5</f>
        <v>0.0002358541668988022</v>
      </c>
      <c r="J7" s="10"/>
    </row>
    <row r="8" spans="1:10" ht="15">
      <c r="A8" s="3">
        <v>2</v>
      </c>
      <c r="B8" s="4" t="s">
        <v>7</v>
      </c>
      <c r="C8" s="8"/>
      <c r="D8" s="8">
        <f>1188.8+43.34</f>
        <v>1232.1399999999999</v>
      </c>
      <c r="E8" s="24">
        <f>706.7597-117.548387+709.62+40.6</f>
        <v>1339.4313129999998</v>
      </c>
      <c r="F8" s="24">
        <v>0</v>
      </c>
      <c r="G8" s="24">
        <f>D8-E8-F8+4.1998</f>
        <v>-103.09151299999995</v>
      </c>
      <c r="H8" s="8">
        <f t="shared" si="0"/>
        <v>-0.008204983326037642</v>
      </c>
      <c r="J8" s="10"/>
    </row>
    <row r="9" spans="1:10" ht="15">
      <c r="A9" s="3">
        <v>3</v>
      </c>
      <c r="B9" s="4" t="s">
        <v>23</v>
      </c>
      <c r="C9" s="7" t="s">
        <v>44</v>
      </c>
      <c r="D9" s="26">
        <f>11623-10887</f>
        <v>736</v>
      </c>
      <c r="E9" s="24">
        <f>697.4613-116.243547+834.8+70.89</f>
        <v>1486.9077530000002</v>
      </c>
      <c r="F9" s="24">
        <v>0</v>
      </c>
      <c r="G9" s="24">
        <f>D9-E9-F9+111.505</f>
        <v>-639.4027530000002</v>
      </c>
      <c r="H9" s="8">
        <f t="shared" si="0"/>
        <v>-0.0508896297504875</v>
      </c>
      <c r="J9" s="10"/>
    </row>
    <row r="10" spans="1:8" ht="15">
      <c r="A10" s="3">
        <v>4</v>
      </c>
      <c r="B10" s="4" t="s">
        <v>8</v>
      </c>
      <c r="C10" s="7"/>
      <c r="D10" s="7">
        <f>D8+D9</f>
        <v>1968.1399999999999</v>
      </c>
      <c r="E10" s="24">
        <f>1078.1973+1428.89+87.16+228.84+3.25</f>
        <v>2826.3373</v>
      </c>
      <c r="F10" s="24">
        <f>F8+F9</f>
        <v>0</v>
      </c>
      <c r="G10" s="24">
        <v>0</v>
      </c>
      <c r="H10" s="8">
        <f t="shared" si="0"/>
        <v>0</v>
      </c>
    </row>
    <row r="11" spans="1:8" ht="15">
      <c r="A11" s="32">
        <v>5</v>
      </c>
      <c r="B11" s="4" t="s">
        <v>31</v>
      </c>
      <c r="C11" s="7"/>
      <c r="D11" s="8">
        <f>47240</f>
        <v>47240</v>
      </c>
      <c r="E11" s="27">
        <v>38406</v>
      </c>
      <c r="F11" s="24">
        <v>0</v>
      </c>
      <c r="G11" s="24">
        <f>D11-E11-F11+0.001</f>
        <v>8834.001</v>
      </c>
      <c r="H11" s="8">
        <f t="shared" si="0"/>
        <v>0.7030921246368738</v>
      </c>
    </row>
    <row r="12" spans="1:8" ht="15">
      <c r="A12" s="33"/>
      <c r="B12" s="4" t="s">
        <v>32</v>
      </c>
      <c r="C12" s="7"/>
      <c r="D12" s="8">
        <f>18060</f>
        <v>18060</v>
      </c>
      <c r="E12" s="27">
        <v>12390</v>
      </c>
      <c r="F12" s="24">
        <v>0</v>
      </c>
      <c r="G12" s="24">
        <f>D12-E12-F12+0.0004</f>
        <v>5670.0004</v>
      </c>
      <c r="H12" s="8">
        <f t="shared" si="0"/>
        <v>0.4512714712085638</v>
      </c>
    </row>
    <row r="13" spans="1:8" ht="15">
      <c r="A13" s="34"/>
      <c r="B13" s="14" t="s">
        <v>11</v>
      </c>
      <c r="C13" s="14"/>
      <c r="D13" s="16">
        <f>SUM(D11:D12)</f>
        <v>65300</v>
      </c>
      <c r="E13" s="25">
        <f>SUM(E11:E12)</f>
        <v>50796</v>
      </c>
      <c r="F13" s="25">
        <f>SUM(F11:F12)</f>
        <v>0</v>
      </c>
      <c r="G13" s="25">
        <f>SUM(G11:G12)</f>
        <v>14504.001400000001</v>
      </c>
      <c r="H13" s="8">
        <f t="shared" si="0"/>
        <v>1.1543635958454377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2012-12-03T12:21:48Z</cp:lastPrinted>
  <dcterms:created xsi:type="dcterms:W3CDTF">2006-09-16T00:00:00Z</dcterms:created>
  <dcterms:modified xsi:type="dcterms:W3CDTF">2016-02-01T11:01:09Z</dcterms:modified>
  <cp:category/>
  <cp:version/>
  <cp:contentType/>
  <cp:contentStatus/>
</cp:coreProperties>
</file>