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61.2 (январь) " sheetId="1" r:id="rId1"/>
    <sheet name="61.2 (февраль)" sheetId="2" r:id="rId2"/>
    <sheet name="61.2 (март)" sheetId="3" r:id="rId3"/>
    <sheet name="61.2 (апрель)" sheetId="4" r:id="rId4"/>
    <sheet name="61.2 (май)" sheetId="5" r:id="rId5"/>
    <sheet name="61.2 (июнь)" sheetId="6" r:id="rId6"/>
    <sheet name="61.2 (июль)" sheetId="7" r:id="rId7"/>
    <sheet name="61.2 (август)" sheetId="8" r:id="rId8"/>
    <sheet name="61.2 (сентябрь)" sheetId="9" r:id="rId9"/>
    <sheet name="61.2 (октябрь)" sheetId="10" r:id="rId10"/>
    <sheet name="61.2 (ноябрь)" sheetId="11" r:id="rId11"/>
    <sheet name="61.2 (декабрь)" sheetId="12" r:id="rId12"/>
  </sheets>
  <definedNames/>
  <calcPr fullCalcOnLoad="1"/>
</workbook>
</file>

<file path=xl/sharedStrings.xml><?xml version="1.0" encoding="utf-8"?>
<sst xmlns="http://schemas.openxmlformats.org/spreadsheetml/2006/main" count="246" uniqueCount="57">
  <si>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</si>
  <si>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</si>
  <si>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</si>
  <si>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</si>
  <si>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</si>
  <si>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</si>
  <si>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</si>
  <si>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</si>
  <si>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Викулова 61-2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</si>
  <si>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</si>
  <si>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</si>
  <si>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</si>
  <si>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</si>
  <si>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</si>
  <si>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</si>
  <si>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сч.782415</t>
  </si>
  <si>
    <t>эл.эн.ночь № сч.782415</t>
  </si>
  <si>
    <t>эл.эн.день № сч.782416</t>
  </si>
  <si>
    <t>эл.эн.ночь № сч.782416</t>
  </si>
  <si>
    <t>ХВС (тонн)</t>
  </si>
  <si>
    <t>ночь эл.эн.</t>
  </si>
  <si>
    <t>день эл.эн.</t>
  </si>
  <si>
    <t>нагрев воды (Г.кал.)</t>
  </si>
  <si>
    <t>эл.эн.день № сч.629859</t>
  </si>
  <si>
    <t>эл.эн.ночь № сч.629859</t>
  </si>
  <si>
    <t>эл.эн.день № сч.660136</t>
  </si>
  <si>
    <t>эл.эн.ночь № сч.660136</t>
  </si>
  <si>
    <t>эл.эн.день № сч.782437</t>
  </si>
  <si>
    <t>эл.эн.ночь № сч.782437</t>
  </si>
  <si>
    <t>эл.эн.день № сч.738197</t>
  </si>
  <si>
    <t>эл.эн.ночь № сч.738197</t>
  </si>
  <si>
    <t>Объем коммунальных услуг по показаниям общедомовых приборов учета (ОДН) за январь в феврале 2015г.</t>
  </si>
  <si>
    <t>272,999,/1026,389</t>
  </si>
  <si>
    <t>Объем коммунальных услуг по показаниям общедомовых приборов учета (ОДН) за февраль в марте 2015г.</t>
  </si>
  <si>
    <t>1026,385,/2100,286</t>
  </si>
  <si>
    <t>Объем коммунальных услуг по показаниям общедомовых приборов учета (ОДН) за март в апреле 2015г.</t>
  </si>
  <si>
    <t>2707,994,/3029,907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</si>
  <si>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</si>
  <si>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</si>
  <si>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апрель в мае 2015г.</t>
  </si>
  <si>
    <t>3032,593,/4028,047</t>
  </si>
  <si>
    <t>Объем коммунальных услуг по показаниям общедомовых приборов учета (ОДН) за май в июне 2015г.</t>
  </si>
  <si>
    <t>4024,49,/4999,386</t>
  </si>
  <si>
    <t>Объем коммунальных услуг по показаниям общедомовых приборов учета (ОДН) за июнь в июле 2015г.</t>
  </si>
  <si>
    <t>4976,339,/5894,764</t>
  </si>
  <si>
    <t>Объем коммунальных услуг по показаниям общедомовых приборов учета (ОДН) за июль в августе 2015г.</t>
  </si>
  <si>
    <t>5894,758,/6807,909</t>
  </si>
  <si>
    <t>Объем коммунальных услуг по показаниям общедомовых приборов учета (ОДН) за август в сентябре 2015г.</t>
  </si>
  <si>
    <t>6783,144,/7857,375</t>
  </si>
  <si>
    <t>Объем коммунальных услуг по показаниям общедомовых приборов учета (ОДН) за сентябрь в октябре 2015г.</t>
  </si>
  <si>
    <t>7871,917,/8681,892</t>
  </si>
  <si>
    <t>Объем коммунальных услуг по показаниям общедомовых приборов учета (ОДН) за октябрь в ноябре 2015г.</t>
  </si>
  <si>
    <t>8681,896,/9697,185</t>
  </si>
  <si>
    <t>Объем коммунальных услуг по показаниям общедомовых приборов учета (ОДН) за ноябрь в декабре 2015г.</t>
  </si>
  <si>
    <t>9652,706,/10565,272</t>
  </si>
  <si>
    <t>Объем коммунальных услуг по показаниям общедомовых приборов учета (ОДН) за декабрь в январе 2016г.</t>
  </si>
  <si>
    <t>10565,274,/11697,187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</si>
</sst>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  <numFmt numFmtId="168" formatCode="#,##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24" borderId="10" xfId="0" applyNumberForma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4" fontId="0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24" borderId="12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5" sqref="F15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14" t="s">
        <v>31</v>
      </c>
    </row>
    <row r="4" spans="1:10" ht="15">
      <c r="A4" s="41" t="s">
        <v>8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90" customHeight="1">
      <c r="A5" s="42" t="s">
        <v>0</v>
      </c>
      <c r="B5" s="44" t="s">
        <v>1</v>
      </c>
      <c r="C5" s="42" t="s">
        <v>2</v>
      </c>
      <c r="D5" s="46" t="s">
        <v>7</v>
      </c>
      <c r="E5" s="47"/>
      <c r="F5" s="42" t="s">
        <v>11</v>
      </c>
      <c r="G5" s="42" t="s">
        <v>3</v>
      </c>
      <c r="H5" s="42" t="s">
        <v>4</v>
      </c>
      <c r="I5" s="42" t="s">
        <v>5</v>
      </c>
      <c r="J5" s="44" t="s">
        <v>6</v>
      </c>
    </row>
    <row r="6" spans="1:10" ht="21.75" customHeight="1">
      <c r="A6" s="43"/>
      <c r="B6" s="45"/>
      <c r="C6" s="43"/>
      <c r="D6" s="15" t="s">
        <v>12</v>
      </c>
      <c r="E6" s="16" t="s">
        <v>13</v>
      </c>
      <c r="F6" s="43"/>
      <c r="G6" s="43"/>
      <c r="H6" s="43"/>
      <c r="I6" s="43"/>
      <c r="J6" s="45"/>
    </row>
    <row r="7" spans="1:12" ht="15">
      <c r="A7" s="17">
        <v>1</v>
      </c>
      <c r="B7" s="18" t="s">
        <v>22</v>
      </c>
      <c r="C7" s="17"/>
      <c r="D7" s="19"/>
      <c r="E7" s="20"/>
      <c r="F7" s="17">
        <v>68.8</v>
      </c>
      <c r="G7" s="21">
        <v>38.599455999999996</v>
      </c>
      <c r="H7" s="17">
        <v>4.86</v>
      </c>
      <c r="I7" s="33">
        <v>1.19062152</v>
      </c>
      <c r="J7" s="5">
        <v>0.00014382839478284192</v>
      </c>
      <c r="L7" s="11"/>
    </row>
    <row r="8" spans="1:12" ht="15">
      <c r="A8" s="2">
        <v>2</v>
      </c>
      <c r="B8" s="3" t="s">
        <v>9</v>
      </c>
      <c r="C8" s="5"/>
      <c r="D8" s="7"/>
      <c r="E8" s="7"/>
      <c r="F8" s="5">
        <v>817.7999999999998</v>
      </c>
      <c r="G8" s="4">
        <v>807.5199999999999</v>
      </c>
      <c r="H8" s="4">
        <v>57.249999999999986</v>
      </c>
      <c r="I8" s="6">
        <v>-46.97000000000001</v>
      </c>
      <c r="J8" s="5">
        <v>-0.005674027883310967</v>
      </c>
      <c r="L8" s="11"/>
    </row>
    <row r="9" spans="1:12" ht="15">
      <c r="A9" s="2">
        <v>3</v>
      </c>
      <c r="B9" s="3" t="s">
        <v>19</v>
      </c>
      <c r="C9" s="24" t="s">
        <v>32</v>
      </c>
      <c r="D9" s="7"/>
      <c r="E9" s="7"/>
      <c r="F9" s="4">
        <v>753.3899999999999</v>
      </c>
      <c r="G9" s="4">
        <v>920.9</v>
      </c>
      <c r="H9" s="4">
        <v>53</v>
      </c>
      <c r="I9" s="6">
        <v>-220.5100000000001</v>
      </c>
      <c r="J9" s="5">
        <v>-0.02663785157651483</v>
      </c>
      <c r="L9" s="11"/>
    </row>
    <row r="10" spans="1:10" ht="15">
      <c r="A10" s="2">
        <v>4</v>
      </c>
      <c r="B10" s="3" t="s">
        <v>10</v>
      </c>
      <c r="C10" s="6"/>
      <c r="D10" s="7"/>
      <c r="E10" s="7"/>
      <c r="F10" s="4">
        <v>1571.1899999999996</v>
      </c>
      <c r="G10" s="4">
        <v>1728.42</v>
      </c>
      <c r="H10" s="4">
        <v>110.24999999999999</v>
      </c>
      <c r="I10" s="6">
        <v>0</v>
      </c>
      <c r="J10" s="5">
        <v>0</v>
      </c>
    </row>
    <row r="11" spans="1:10" ht="15">
      <c r="A11" s="48">
        <v>5</v>
      </c>
      <c r="B11" s="3" t="s">
        <v>15</v>
      </c>
      <c r="C11" s="6"/>
      <c r="D11" s="8">
        <v>7868</v>
      </c>
      <c r="E11" s="8">
        <v>7929</v>
      </c>
      <c r="F11" s="5">
        <v>915</v>
      </c>
      <c r="G11" s="6">
        <v>0</v>
      </c>
      <c r="H11" s="6">
        <v>0</v>
      </c>
      <c r="I11" s="6">
        <v>915</v>
      </c>
      <c r="J11" s="5">
        <v>0.11053301071384997</v>
      </c>
    </row>
    <row r="12" spans="1:10" ht="15">
      <c r="A12" s="49"/>
      <c r="B12" s="3" t="s">
        <v>16</v>
      </c>
      <c r="C12" s="6"/>
      <c r="D12" s="8">
        <v>5692</v>
      </c>
      <c r="E12" s="8">
        <v>5742</v>
      </c>
      <c r="F12" s="5">
        <v>750</v>
      </c>
      <c r="G12" s="6">
        <v>0</v>
      </c>
      <c r="H12" s="6">
        <v>0</v>
      </c>
      <c r="I12" s="6">
        <v>750</v>
      </c>
      <c r="J12" s="5">
        <v>0.09060082845397538</v>
      </c>
    </row>
    <row r="13" spans="1:10" ht="15">
      <c r="A13" s="49"/>
      <c r="B13" s="3" t="s">
        <v>17</v>
      </c>
      <c r="C13" s="6"/>
      <c r="D13" s="8">
        <v>5891</v>
      </c>
      <c r="E13" s="8">
        <v>5934</v>
      </c>
      <c r="F13" s="5">
        <v>430</v>
      </c>
      <c r="G13" s="6">
        <v>0</v>
      </c>
      <c r="H13" s="6">
        <v>0</v>
      </c>
      <c r="I13" s="6">
        <v>430</v>
      </c>
      <c r="J13" s="5">
        <v>0.05194447498027922</v>
      </c>
    </row>
    <row r="14" spans="1:10" ht="15">
      <c r="A14" s="49"/>
      <c r="B14" s="3" t="s">
        <v>18</v>
      </c>
      <c r="C14" s="6"/>
      <c r="D14" s="8">
        <v>4308</v>
      </c>
      <c r="E14" s="8">
        <v>4342</v>
      </c>
      <c r="F14" s="5">
        <v>340</v>
      </c>
      <c r="G14" s="6">
        <v>0</v>
      </c>
      <c r="H14" s="6">
        <v>0</v>
      </c>
      <c r="I14" s="6">
        <v>340</v>
      </c>
      <c r="J14" s="5">
        <v>0.04107237556580218</v>
      </c>
    </row>
    <row r="15" spans="1:10" ht="15">
      <c r="A15" s="49"/>
      <c r="B15" s="3" t="s">
        <v>23</v>
      </c>
      <c r="C15" s="6"/>
      <c r="D15" s="13">
        <v>15795</v>
      </c>
      <c r="E15" s="13">
        <v>16995</v>
      </c>
      <c r="F15" s="9">
        <v>1200</v>
      </c>
      <c r="G15" s="6">
        <v>0</v>
      </c>
      <c r="H15" s="6">
        <v>0</v>
      </c>
      <c r="I15" s="6">
        <v>1200</v>
      </c>
      <c r="J15" s="5">
        <v>0.14496132552636062</v>
      </c>
    </row>
    <row r="16" spans="1:10" ht="15">
      <c r="A16" s="49"/>
      <c r="B16" s="3" t="s">
        <v>24</v>
      </c>
      <c r="C16" s="6"/>
      <c r="D16" s="13">
        <v>9933</v>
      </c>
      <c r="E16" s="13">
        <v>10965</v>
      </c>
      <c r="F16" s="9">
        <v>1032</v>
      </c>
      <c r="G16" s="6">
        <v>0</v>
      </c>
      <c r="H16" s="6">
        <v>0</v>
      </c>
      <c r="I16" s="6">
        <v>1032</v>
      </c>
      <c r="J16" s="5">
        <v>0.12466673995267014</v>
      </c>
    </row>
    <row r="17" spans="1:12" ht="15">
      <c r="A17" s="49"/>
      <c r="B17" s="3" t="s">
        <v>25</v>
      </c>
      <c r="C17" s="6"/>
      <c r="D17" s="13">
        <v>3601</v>
      </c>
      <c r="E17" s="13">
        <v>3951</v>
      </c>
      <c r="F17" s="9">
        <v>350</v>
      </c>
      <c r="G17" s="6">
        <v>0</v>
      </c>
      <c r="H17" s="6">
        <v>0</v>
      </c>
      <c r="I17" s="6">
        <v>350</v>
      </c>
      <c r="J17" s="5">
        <v>0.04228038661185518</v>
      </c>
      <c r="K17" s="12"/>
      <c r="L17" s="11"/>
    </row>
    <row r="18" spans="1:12" ht="15">
      <c r="A18" s="49"/>
      <c r="B18" s="3" t="s">
        <v>26</v>
      </c>
      <c r="C18" s="6"/>
      <c r="D18" s="13">
        <v>4947</v>
      </c>
      <c r="E18" s="13">
        <v>5494</v>
      </c>
      <c r="F18" s="9">
        <v>547</v>
      </c>
      <c r="G18" s="6">
        <v>0</v>
      </c>
      <c r="H18" s="6">
        <v>0</v>
      </c>
      <c r="I18" s="6">
        <v>547</v>
      </c>
      <c r="J18" s="5">
        <v>0.06607820421909938</v>
      </c>
      <c r="K18" s="12"/>
      <c r="L18" s="11"/>
    </row>
    <row r="19" spans="1:10" ht="15">
      <c r="A19" s="49"/>
      <c r="B19" s="3" t="s">
        <v>27</v>
      </c>
      <c r="C19" s="6"/>
      <c r="D19" s="13">
        <v>32804</v>
      </c>
      <c r="E19" s="13">
        <v>33016</v>
      </c>
      <c r="F19" s="9">
        <v>848</v>
      </c>
      <c r="G19" s="6">
        <v>0</v>
      </c>
      <c r="H19" s="6">
        <v>0</v>
      </c>
      <c r="I19" s="6">
        <v>848</v>
      </c>
      <c r="J19" s="5">
        <v>0.10243933670529484</v>
      </c>
    </row>
    <row r="20" spans="1:10" ht="15">
      <c r="A20" s="49"/>
      <c r="B20" s="3" t="s">
        <v>28</v>
      </c>
      <c r="C20" s="6"/>
      <c r="D20" s="13">
        <v>34819</v>
      </c>
      <c r="E20" s="13">
        <v>35077</v>
      </c>
      <c r="F20" s="9">
        <v>1032</v>
      </c>
      <c r="G20" s="6">
        <v>0</v>
      </c>
      <c r="H20" s="6">
        <v>0</v>
      </c>
      <c r="I20" s="6">
        <v>1032</v>
      </c>
      <c r="J20" s="5">
        <v>0.12466673995267014</v>
      </c>
    </row>
    <row r="21" spans="1:10" ht="15">
      <c r="A21" s="49"/>
      <c r="B21" s="3" t="s">
        <v>29</v>
      </c>
      <c r="C21" s="6"/>
      <c r="D21" s="13">
        <v>4181</v>
      </c>
      <c r="E21" s="13">
        <v>4193</v>
      </c>
      <c r="F21" s="9">
        <v>48</v>
      </c>
      <c r="G21" s="6">
        <v>0</v>
      </c>
      <c r="H21" s="6">
        <v>0</v>
      </c>
      <c r="I21" s="6">
        <v>48</v>
      </c>
      <c r="J21" s="5">
        <v>0.005798453021054425</v>
      </c>
    </row>
    <row r="22" spans="1:10" ht="15">
      <c r="A22" s="49"/>
      <c r="B22" s="3" t="s">
        <v>30</v>
      </c>
      <c r="C22" s="6"/>
      <c r="D22" s="13">
        <v>1399</v>
      </c>
      <c r="E22" s="13">
        <v>1399</v>
      </c>
      <c r="F22" s="9">
        <v>0</v>
      </c>
      <c r="G22" s="6">
        <v>0</v>
      </c>
      <c r="H22" s="6">
        <v>0</v>
      </c>
      <c r="I22" s="6">
        <v>0</v>
      </c>
      <c r="J22" s="5">
        <v>0</v>
      </c>
    </row>
    <row r="23" spans="1:10" ht="15">
      <c r="A23" s="50"/>
      <c r="B23" s="22" t="s">
        <v>14</v>
      </c>
      <c r="C23" s="22"/>
      <c r="D23" s="9"/>
      <c r="E23" s="22"/>
      <c r="F23" s="4">
        <v>7492</v>
      </c>
      <c r="G23" s="4">
        <v>0</v>
      </c>
      <c r="H23" s="4">
        <v>0</v>
      </c>
      <c r="I23" s="4">
        <v>7492</v>
      </c>
      <c r="J23" s="5">
        <v>0.9050418757029115</v>
      </c>
    </row>
    <row r="24" spans="1:10" ht="15">
      <c r="A24" s="1"/>
      <c r="B24" s="1"/>
      <c r="C24" s="1"/>
      <c r="D24" s="1"/>
      <c r="E24" s="1" t="s">
        <v>21</v>
      </c>
      <c r="F24" s="23">
        <v>3791</v>
      </c>
      <c r="G24" s="23">
        <v>0</v>
      </c>
      <c r="H24" s="23">
        <v>0</v>
      </c>
      <c r="I24" s="23">
        <v>3791</v>
      </c>
      <c r="J24" s="5">
        <v>0.45795698755869424</v>
      </c>
    </row>
    <row r="25" spans="1:10" ht="15">
      <c r="A25" s="1"/>
      <c r="B25" s="1"/>
      <c r="C25" s="1"/>
      <c r="D25" s="1"/>
      <c r="E25" s="1" t="s">
        <v>20</v>
      </c>
      <c r="F25" s="10">
        <v>3701</v>
      </c>
      <c r="G25" s="10">
        <v>0</v>
      </c>
      <c r="H25" s="10">
        <v>0</v>
      </c>
      <c r="I25" s="10">
        <v>3701</v>
      </c>
      <c r="J25" s="5">
        <v>0.4470848881442172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A11:A23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18"/>
  <sheetViews>
    <sheetView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7" sqref="F7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6.7109375" style="0" customWidth="1"/>
    <col min="6" max="6" width="15.421875" style="0" customWidth="1"/>
    <col min="7" max="7" width="12.140625" style="0" customWidth="1"/>
    <col min="8" max="8" width="11.57421875" style="0" customWidth="1"/>
    <col min="9" max="9" width="9.57421875" style="0" bestFit="1" customWidth="1"/>
  </cols>
  <sheetData>
    <row r="3" spans="2:3" ht="15.75">
      <c r="B3" s="14" t="s">
        <v>51</v>
      </c>
      <c r="C3" s="14"/>
    </row>
    <row r="4" spans="1:8" ht="15">
      <c r="A4" s="32" t="s">
        <v>8</v>
      </c>
      <c r="B4" s="32"/>
      <c r="C4" s="32"/>
      <c r="D4" s="32"/>
      <c r="E4" s="32"/>
      <c r="F4" s="32"/>
      <c r="G4" s="32"/>
      <c r="H4" s="32"/>
    </row>
    <row r="5" spans="1:8" ht="90" customHeight="1">
      <c r="A5" s="16" t="s">
        <v>0</v>
      </c>
      <c r="B5" s="34" t="s">
        <v>1</v>
      </c>
      <c r="C5" s="16" t="s">
        <v>2</v>
      </c>
      <c r="D5" s="16" t="s">
        <v>11</v>
      </c>
      <c r="E5" s="16" t="s">
        <v>3</v>
      </c>
      <c r="F5" s="16" t="s">
        <v>4</v>
      </c>
      <c r="G5" s="16" t="s">
        <v>5</v>
      </c>
      <c r="H5" s="34" t="s">
        <v>6</v>
      </c>
    </row>
    <row r="6" spans="1:8" ht="21.75" customHeight="1">
      <c r="A6" s="26"/>
      <c r="B6" s="28"/>
      <c r="C6" s="26"/>
      <c r="D6" s="26"/>
      <c r="E6" s="26"/>
      <c r="F6" s="26"/>
      <c r="G6" s="26"/>
      <c r="H6" s="28"/>
    </row>
    <row r="7" spans="1:10" ht="15">
      <c r="A7" s="17">
        <v>1</v>
      </c>
      <c r="B7" s="18" t="s">
        <v>22</v>
      </c>
      <c r="C7" s="17"/>
      <c r="D7" s="21">
        <f>66.41</f>
        <v>66.41</v>
      </c>
      <c r="E7" s="21">
        <f>E8*0.0478+0.00206</f>
        <v>31.2311384</v>
      </c>
      <c r="F7" s="37">
        <f>2.92+0.75+0.2+2.48</f>
        <v>6.35</v>
      </c>
      <c r="G7" s="38">
        <f>24.9084*0.0478-0.0006</f>
        <v>1.1900215200000002</v>
      </c>
      <c r="H7" s="5">
        <f>G7/8279.57</f>
        <v>0.00014372987002948223</v>
      </c>
      <c r="J7" s="11"/>
    </row>
    <row r="8" spans="1:10" ht="15">
      <c r="A8" s="2">
        <v>2</v>
      </c>
      <c r="B8" s="3" t="s">
        <v>9</v>
      </c>
      <c r="C8" s="5"/>
      <c r="D8" s="21">
        <f>810.2</f>
        <v>810.2</v>
      </c>
      <c r="E8" s="39">
        <f>350.168-58.24+335.6+25.8</f>
        <v>653.328</v>
      </c>
      <c r="F8" s="39">
        <f>28.84+7.41+1.99+24.4</f>
        <v>62.64</v>
      </c>
      <c r="G8" s="38">
        <f>24.9084+0.0025</f>
        <v>24.9109</v>
      </c>
      <c r="H8" s="5">
        <f aca="true" t="shared" si="0" ref="H8:H13">G8/8279.57</f>
        <v>0.0030087190518348177</v>
      </c>
      <c r="J8" s="11"/>
    </row>
    <row r="9" spans="1:10" ht="15">
      <c r="A9" s="2">
        <v>3</v>
      </c>
      <c r="B9" s="3" t="s">
        <v>19</v>
      </c>
      <c r="C9" s="24" t="s">
        <v>52</v>
      </c>
      <c r="D9" s="4">
        <f>9697.185-8681.896</f>
        <v>1015.2889999999989</v>
      </c>
      <c r="E9" s="39">
        <f>378.3-63.05+471.68+28.14</f>
        <v>815.07</v>
      </c>
      <c r="F9" s="39">
        <f>52</f>
        <v>52</v>
      </c>
      <c r="G9" s="38">
        <f>24.9084-0.0916</f>
        <v>24.8168</v>
      </c>
      <c r="H9" s="5">
        <f t="shared" si="0"/>
        <v>0.0029973537273070947</v>
      </c>
      <c r="J9" s="11"/>
    </row>
    <row r="10" spans="1:8" ht="15">
      <c r="A10" s="2">
        <v>4</v>
      </c>
      <c r="B10" s="3" t="s">
        <v>10</v>
      </c>
      <c r="C10" s="6"/>
      <c r="D10" s="4">
        <f>D8+D9</f>
        <v>1825.488999999999</v>
      </c>
      <c r="E10" s="39">
        <f>562.4963+778.2+44.29+71.2127+3.02+8.86+0.32</f>
        <v>1468.399</v>
      </c>
      <c r="F10" s="39">
        <f>F8+F9</f>
        <v>114.64</v>
      </c>
      <c r="G10" s="38">
        <v>0</v>
      </c>
      <c r="H10" s="5">
        <f>G10/8279.57</f>
        <v>0</v>
      </c>
    </row>
    <row r="11" spans="1:8" ht="15">
      <c r="A11" s="29">
        <v>5</v>
      </c>
      <c r="B11" s="36" t="s">
        <v>37</v>
      </c>
      <c r="C11" s="6"/>
      <c r="D11" s="6">
        <f>17044</f>
        <v>17044</v>
      </c>
      <c r="E11" s="38">
        <f>6039</f>
        <v>6039</v>
      </c>
      <c r="F11" s="38">
        <f>435</f>
        <v>435</v>
      </c>
      <c r="G11" s="38">
        <f>6919-0.0002</f>
        <v>6918.9998</v>
      </c>
      <c r="H11" s="5">
        <f t="shared" si="0"/>
        <v>0.8356713935627091</v>
      </c>
    </row>
    <row r="12" spans="1:8" ht="15">
      <c r="A12" s="30"/>
      <c r="B12" s="36" t="s">
        <v>38</v>
      </c>
      <c r="C12" s="6"/>
      <c r="D12" s="6">
        <f>13478</f>
        <v>13478</v>
      </c>
      <c r="E12" s="38">
        <f>6428</f>
        <v>6428</v>
      </c>
      <c r="F12" s="38">
        <v>0</v>
      </c>
      <c r="G12" s="38">
        <f>0</f>
        <v>0</v>
      </c>
      <c r="H12" s="5">
        <f t="shared" si="0"/>
        <v>0</v>
      </c>
    </row>
    <row r="13" spans="1:8" ht="15">
      <c r="A13" s="31"/>
      <c r="B13" s="22" t="s">
        <v>14</v>
      </c>
      <c r="C13" s="22"/>
      <c r="D13" s="4">
        <f>SUM(D11:D12)</f>
        <v>30522</v>
      </c>
      <c r="E13" s="39">
        <f>SUM(E11:E12)</f>
        <v>12467</v>
      </c>
      <c r="F13" s="39">
        <f>SUM(F11:F12)</f>
        <v>435</v>
      </c>
      <c r="G13" s="39">
        <f>SUM(G11:G12)</f>
        <v>6918.9998</v>
      </c>
      <c r="H13" s="5">
        <f t="shared" si="0"/>
        <v>0.8356713935627091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18"/>
  <sheetViews>
    <sheetView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6" sqref="C6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6.7109375" style="0" customWidth="1"/>
    <col min="6" max="6" width="15.421875" style="0" customWidth="1"/>
    <col min="7" max="7" width="12.140625" style="0" customWidth="1"/>
    <col min="8" max="8" width="11.57421875" style="0" customWidth="1"/>
    <col min="9" max="9" width="9.57421875" style="0" bestFit="1" customWidth="1"/>
  </cols>
  <sheetData>
    <row r="3" spans="2:3" ht="15.75">
      <c r="B3" s="14" t="s">
        <v>53</v>
      </c>
      <c r="C3" s="14"/>
    </row>
    <row r="4" spans="1:8" ht="15">
      <c r="A4" s="32" t="s">
        <v>8</v>
      </c>
      <c r="B4" s="32"/>
      <c r="C4" s="32"/>
      <c r="D4" s="32"/>
      <c r="E4" s="32"/>
      <c r="F4" s="32"/>
      <c r="G4" s="32"/>
      <c r="H4" s="32"/>
    </row>
    <row r="5" spans="1:8" ht="90" customHeight="1">
      <c r="A5" s="16" t="s">
        <v>0</v>
      </c>
      <c r="B5" s="34" t="s">
        <v>1</v>
      </c>
      <c r="C5" s="16" t="s">
        <v>2</v>
      </c>
      <c r="D5" s="16" t="s">
        <v>11</v>
      </c>
      <c r="E5" s="16" t="s">
        <v>3</v>
      </c>
      <c r="F5" s="16" t="s">
        <v>4</v>
      </c>
      <c r="G5" s="16" t="s">
        <v>5</v>
      </c>
      <c r="H5" s="34" t="s">
        <v>6</v>
      </c>
    </row>
    <row r="6" spans="1:8" ht="21.75" customHeight="1">
      <c r="A6" s="26"/>
      <c r="B6" s="28"/>
      <c r="C6" s="26"/>
      <c r="D6" s="26"/>
      <c r="E6" s="26"/>
      <c r="F6" s="26"/>
      <c r="G6" s="26"/>
      <c r="H6" s="28"/>
    </row>
    <row r="7" spans="1:10" ht="15">
      <c r="A7" s="17">
        <v>1</v>
      </c>
      <c r="B7" s="18" t="s">
        <v>22</v>
      </c>
      <c r="C7" s="17"/>
      <c r="D7" s="21">
        <f>67.72</f>
        <v>67.72</v>
      </c>
      <c r="E7" s="21">
        <f>E8*0.0478+0.0019</f>
        <v>35.228588</v>
      </c>
      <c r="F7" s="37">
        <f>3.08+0.79+0.21+2.61</f>
        <v>6.6899999999999995</v>
      </c>
      <c r="G7" s="38">
        <f>24.9084*0.0478-0.0005</f>
        <v>1.1901215200000002</v>
      </c>
      <c r="H7" s="5">
        <f>G7/8280.17</f>
        <v>0.00014373153208207078</v>
      </c>
      <c r="J7" s="11"/>
    </row>
    <row r="8" spans="1:10" ht="15">
      <c r="A8" s="2">
        <v>2</v>
      </c>
      <c r="B8" s="3" t="s">
        <v>9</v>
      </c>
      <c r="C8" s="5"/>
      <c r="D8" s="21">
        <f>788.1</f>
        <v>788.1</v>
      </c>
      <c r="E8" s="39">
        <f>351.13-58.4+396.51+47.72</f>
        <v>736.96</v>
      </c>
      <c r="F8" s="39">
        <f>60.92</f>
        <v>60.92</v>
      </c>
      <c r="G8" s="38">
        <f>D8-E8-F8+0.6475</f>
        <v>-9.132500000000014</v>
      </c>
      <c r="H8" s="5">
        <f aca="true" t="shared" si="0" ref="H8:H13">G8/8280.17</f>
        <v>-0.0011029362923708106</v>
      </c>
      <c r="J8" s="11"/>
    </row>
    <row r="9" spans="1:10" ht="15">
      <c r="A9" s="2">
        <v>3</v>
      </c>
      <c r="B9" s="3" t="s">
        <v>19</v>
      </c>
      <c r="C9" s="24" t="s">
        <v>54</v>
      </c>
      <c r="D9" s="4">
        <f>10565.272-9652.706</f>
        <v>912.5660000000007</v>
      </c>
      <c r="E9" s="39">
        <f>378.3-63.05+557.52+78.68-0.004</f>
        <v>951.446</v>
      </c>
      <c r="F9" s="39">
        <f>45</f>
        <v>45</v>
      </c>
      <c r="G9" s="38">
        <f>D9-E9-F9+5.1554</f>
        <v>-78.72459999999931</v>
      </c>
      <c r="H9" s="5">
        <f t="shared" si="0"/>
        <v>-0.009507606727881108</v>
      </c>
      <c r="J9" s="11"/>
    </row>
    <row r="10" spans="1:8" ht="15">
      <c r="A10" s="2">
        <v>4</v>
      </c>
      <c r="B10" s="3" t="s">
        <v>10</v>
      </c>
      <c r="C10" s="6"/>
      <c r="D10" s="4">
        <f>D8+D9</f>
        <v>1700.6660000000006</v>
      </c>
      <c r="E10" s="39">
        <f>567.04+937.55+66.45+79.74+28.76+8.86+0.01</f>
        <v>1688.4099999999999</v>
      </c>
      <c r="F10" s="39">
        <f>F8+F9</f>
        <v>105.92</v>
      </c>
      <c r="G10" s="38">
        <v>0</v>
      </c>
      <c r="H10" s="5">
        <f t="shared" si="0"/>
        <v>0</v>
      </c>
    </row>
    <row r="11" spans="1:8" ht="15">
      <c r="A11" s="29">
        <v>5</v>
      </c>
      <c r="B11" s="36" t="s">
        <v>37</v>
      </c>
      <c r="C11" s="6"/>
      <c r="D11" s="6">
        <f>21537</f>
        <v>21537</v>
      </c>
      <c r="E11" s="38">
        <f>31569</f>
        <v>31569</v>
      </c>
      <c r="F11" s="38">
        <f>602</f>
        <v>602</v>
      </c>
      <c r="G11" s="38">
        <f>-8785.8581</f>
        <v>-8785.8581</v>
      </c>
      <c r="H11" s="5">
        <f t="shared" si="0"/>
        <v>-1.061072188131403</v>
      </c>
    </row>
    <row r="12" spans="1:8" ht="15">
      <c r="A12" s="30"/>
      <c r="B12" s="36" t="s">
        <v>38</v>
      </c>
      <c r="C12" s="6"/>
      <c r="D12" s="6">
        <f>14752</f>
        <v>14752</v>
      </c>
      <c r="E12" s="38">
        <f>10494</f>
        <v>10494</v>
      </c>
      <c r="F12" s="38">
        <v>0</v>
      </c>
      <c r="G12" s="38">
        <f>2910.5206</f>
        <v>2910.5206</v>
      </c>
      <c r="H12" s="5">
        <f t="shared" si="0"/>
        <v>0.3515049328697357</v>
      </c>
    </row>
    <row r="13" spans="1:8" ht="15">
      <c r="A13" s="31"/>
      <c r="B13" s="22" t="s">
        <v>14</v>
      </c>
      <c r="C13" s="22"/>
      <c r="D13" s="4">
        <f>SUM(D11:D12)</f>
        <v>36289</v>
      </c>
      <c r="E13" s="39">
        <f>SUM(E11:E12)</f>
        <v>42063</v>
      </c>
      <c r="F13" s="39">
        <f>SUM(F11:F12)</f>
        <v>602</v>
      </c>
      <c r="G13" s="39">
        <f>SUM(G11:G12)</f>
        <v>-5875.3375</v>
      </c>
      <c r="H13" s="5">
        <f t="shared" si="0"/>
        <v>-0.7095672552616673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18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5" sqref="C5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6.7109375" style="0" customWidth="1"/>
    <col min="6" max="6" width="15.421875" style="0" customWidth="1"/>
    <col min="7" max="7" width="12.140625" style="0" customWidth="1"/>
    <col min="8" max="8" width="11.57421875" style="0" customWidth="1"/>
    <col min="9" max="9" width="9.57421875" style="0" bestFit="1" customWidth="1"/>
  </cols>
  <sheetData>
    <row r="3" spans="2:3" ht="15.75">
      <c r="B3" s="14" t="s">
        <v>55</v>
      </c>
      <c r="C3" s="14"/>
    </row>
    <row r="4" spans="1:8" ht="15">
      <c r="A4" s="32" t="s">
        <v>8</v>
      </c>
      <c r="B4" s="32"/>
      <c r="C4" s="32"/>
      <c r="D4" s="32"/>
      <c r="E4" s="32"/>
      <c r="F4" s="32"/>
      <c r="G4" s="32"/>
      <c r="H4" s="32"/>
    </row>
    <row r="5" spans="1:8" ht="90" customHeight="1">
      <c r="A5" s="16" t="s">
        <v>0</v>
      </c>
      <c r="B5" s="34" t="s">
        <v>1</v>
      </c>
      <c r="C5" s="16" t="s">
        <v>2</v>
      </c>
      <c r="D5" s="16" t="s">
        <v>11</v>
      </c>
      <c r="E5" s="16" t="s">
        <v>3</v>
      </c>
      <c r="F5" s="16" t="s">
        <v>4</v>
      </c>
      <c r="G5" s="16" t="s">
        <v>5</v>
      </c>
      <c r="H5" s="34" t="s">
        <v>6</v>
      </c>
    </row>
    <row r="6" spans="1:8" ht="21.75" customHeight="1">
      <c r="A6" s="26"/>
      <c r="B6" s="28"/>
      <c r="C6" s="26"/>
      <c r="D6" s="26"/>
      <c r="E6" s="26"/>
      <c r="F6" s="26"/>
      <c r="G6" s="26"/>
      <c r="H6" s="28"/>
    </row>
    <row r="7" spans="1:10" ht="15">
      <c r="A7" s="17">
        <v>1</v>
      </c>
      <c r="B7" s="18" t="s">
        <v>22</v>
      </c>
      <c r="C7" s="17"/>
      <c r="D7" s="21">
        <f>74.66</f>
        <v>74.66</v>
      </c>
      <c r="E7" s="21">
        <f>E8*0.0478+0.0017</f>
        <v>28.132956</v>
      </c>
      <c r="F7" s="37">
        <f>3.39+0.87+0.23+2.87</f>
        <v>7.36</v>
      </c>
      <c r="G7" s="38">
        <f>G8*0.0478-0.0005</f>
        <v>1.1901788800000002</v>
      </c>
      <c r="H7" s="5">
        <f aca="true" t="shared" si="0" ref="H7:H13">G7/8280.17</f>
        <v>0.0001437384594760736</v>
      </c>
      <c r="J7" s="11"/>
    </row>
    <row r="8" spans="1:10" ht="15">
      <c r="A8" s="2">
        <v>2</v>
      </c>
      <c r="B8" s="3" t="s">
        <v>9</v>
      </c>
      <c r="C8" s="5"/>
      <c r="D8" s="21">
        <f>829.7</f>
        <v>829.7</v>
      </c>
      <c r="E8" s="39">
        <f>409.53-116.8+289.66+6.13</f>
        <v>588.52</v>
      </c>
      <c r="F8" s="39">
        <f>29.53+7.58+2.04+24.98</f>
        <v>64.13</v>
      </c>
      <c r="G8" s="38">
        <f>24.9084+0.0012</f>
        <v>24.9096</v>
      </c>
      <c r="H8" s="5">
        <f t="shared" si="0"/>
        <v>0.0030083440315838927</v>
      </c>
      <c r="J8" s="11"/>
    </row>
    <row r="9" spans="1:10" ht="15">
      <c r="A9" s="2">
        <v>3</v>
      </c>
      <c r="B9" s="3" t="s">
        <v>19</v>
      </c>
      <c r="C9" s="24" t="s">
        <v>56</v>
      </c>
      <c r="D9" s="52">
        <f>1131.912</f>
        <v>1131.912</v>
      </c>
      <c r="E9" s="39">
        <f>482.09-137.74+370.587+12.71</f>
        <v>727.6469999999999</v>
      </c>
      <c r="F9" s="39">
        <f>44</f>
        <v>44</v>
      </c>
      <c r="G9" s="38">
        <f>24.9084-0.0929</f>
        <v>24.8155</v>
      </c>
      <c r="H9" s="5">
        <f t="shared" si="0"/>
        <v>0.002996979530613502</v>
      </c>
      <c r="J9" s="11"/>
    </row>
    <row r="10" spans="1:8" ht="15">
      <c r="A10" s="2">
        <v>4</v>
      </c>
      <c r="B10" s="3" t="s">
        <v>10</v>
      </c>
      <c r="C10" s="6"/>
      <c r="D10" s="4">
        <f>D8+D9</f>
        <v>1961.612</v>
      </c>
      <c r="E10" s="39">
        <f>593.62+592.987+40.81+55.59+9.51+23.65</f>
        <v>1316.167</v>
      </c>
      <c r="F10" s="39">
        <f>F8+F9</f>
        <v>108.13</v>
      </c>
      <c r="G10" s="38">
        <v>0</v>
      </c>
      <c r="H10" s="5">
        <f t="shared" si="0"/>
        <v>0</v>
      </c>
    </row>
    <row r="11" spans="1:8" ht="15">
      <c r="A11" s="29">
        <v>5</v>
      </c>
      <c r="B11" s="36" t="s">
        <v>37</v>
      </c>
      <c r="C11" s="6"/>
      <c r="D11" s="6">
        <f>14826</f>
        <v>14826</v>
      </c>
      <c r="E11" s="38">
        <f>17090</f>
        <v>17090</v>
      </c>
      <c r="F11" s="38">
        <f>386</f>
        <v>386</v>
      </c>
      <c r="G11" s="38">
        <f>D11-E11-F11-0.0004</f>
        <v>-2650.0004</v>
      </c>
      <c r="H11" s="5">
        <f t="shared" si="0"/>
        <v>-0.3200417865816764</v>
      </c>
    </row>
    <row r="12" spans="1:8" ht="15">
      <c r="A12" s="30"/>
      <c r="B12" s="36" t="s">
        <v>38</v>
      </c>
      <c r="C12" s="6"/>
      <c r="D12" s="6">
        <f>11315</f>
        <v>11315</v>
      </c>
      <c r="E12" s="38">
        <f>5992</f>
        <v>5992</v>
      </c>
      <c r="F12" s="38">
        <v>0</v>
      </c>
      <c r="G12" s="38">
        <f>D12-E12-F12+0.0002</f>
        <v>5323.0002</v>
      </c>
      <c r="H12" s="5">
        <f t="shared" si="0"/>
        <v>0.6428612214483519</v>
      </c>
    </row>
    <row r="13" spans="1:8" ht="15">
      <c r="A13" s="31"/>
      <c r="B13" s="22" t="s">
        <v>14</v>
      </c>
      <c r="C13" s="22"/>
      <c r="D13" s="4">
        <f>SUM(D11:D12)</f>
        <v>26141</v>
      </c>
      <c r="E13" s="39">
        <f>SUM(E11:E12)</f>
        <v>23082</v>
      </c>
      <c r="F13" s="39">
        <f>SUM(F11:F12)</f>
        <v>386</v>
      </c>
      <c r="G13" s="39">
        <f>SUM(G11:G12)</f>
        <v>2672.9998000000005</v>
      </c>
      <c r="H13" s="5">
        <f t="shared" si="0"/>
        <v>0.3228194348666755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5" sqref="B5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5.00390625" style="0" customWidth="1"/>
    <col min="6" max="7" width="16.7109375" style="0" customWidth="1"/>
    <col min="8" max="8" width="15.421875" style="0" customWidth="1"/>
    <col min="9" max="9" width="12.140625" style="0" customWidth="1"/>
    <col min="10" max="10" width="11.57421875" style="0" customWidth="1"/>
    <col min="11" max="11" width="9.57421875" style="0" bestFit="1" customWidth="1"/>
  </cols>
  <sheetData>
    <row r="3" ht="15.75">
      <c r="C3" s="14" t="s">
        <v>33</v>
      </c>
    </row>
    <row r="4" spans="1:10" ht="15">
      <c r="A4" s="32" t="s">
        <v>8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90" customHeight="1">
      <c r="A5" s="25" t="s">
        <v>0</v>
      </c>
      <c r="B5" s="27" t="s">
        <v>1</v>
      </c>
      <c r="C5" s="25" t="s">
        <v>2</v>
      </c>
      <c r="D5" s="46" t="s">
        <v>7</v>
      </c>
      <c r="E5" s="51"/>
      <c r="F5" s="25" t="s">
        <v>11</v>
      </c>
      <c r="G5" s="25" t="s">
        <v>3</v>
      </c>
      <c r="H5" s="25" t="s">
        <v>4</v>
      </c>
      <c r="I5" s="25" t="s">
        <v>5</v>
      </c>
      <c r="J5" s="27" t="s">
        <v>6</v>
      </c>
    </row>
    <row r="6" spans="1:10" ht="21.75" customHeight="1">
      <c r="A6" s="26"/>
      <c r="B6" s="28"/>
      <c r="C6" s="26"/>
      <c r="D6" s="15" t="s">
        <v>12</v>
      </c>
      <c r="E6" s="16" t="s">
        <v>13</v>
      </c>
      <c r="F6" s="26"/>
      <c r="G6" s="26"/>
      <c r="H6" s="26"/>
      <c r="I6" s="26"/>
      <c r="J6" s="28"/>
    </row>
    <row r="7" spans="1:12" ht="15">
      <c r="A7" s="17">
        <v>1</v>
      </c>
      <c r="B7" s="18" t="s">
        <v>22</v>
      </c>
      <c r="C7" s="17"/>
      <c r="D7" s="19"/>
      <c r="E7" s="20"/>
      <c r="F7" s="17">
        <f>58.62+0.83+2.5+0.56+0.56</f>
        <v>63.07</v>
      </c>
      <c r="G7" s="21">
        <f>G8*0.0478</f>
        <v>38.402782900000005</v>
      </c>
      <c r="H7" s="21">
        <f>0.83+2.5+0.56+0.56</f>
        <v>4.45</v>
      </c>
      <c r="I7" s="6">
        <f>24.9084*0.0478</f>
        <v>1.19062152</v>
      </c>
      <c r="J7" s="5">
        <f>I7/8278.07</f>
        <v>0.00014382839478284192</v>
      </c>
      <c r="L7" s="11"/>
    </row>
    <row r="8" spans="1:12" ht="15">
      <c r="A8" s="2">
        <v>2</v>
      </c>
      <c r="B8" s="3" t="s">
        <v>9</v>
      </c>
      <c r="C8" s="5"/>
      <c r="D8" s="7"/>
      <c r="E8" s="7"/>
      <c r="F8" s="5">
        <f>704.19+10+30.01+6.5+6.5</f>
        <v>757.2</v>
      </c>
      <c r="G8" s="4">
        <f>377.8455+383.82+41.74</f>
        <v>803.4055000000001</v>
      </c>
      <c r="H8" s="4">
        <f>10+30.01+6.5+6.5</f>
        <v>53.010000000000005</v>
      </c>
      <c r="I8" s="6">
        <f>F8-G8-H8</f>
        <v>-99.21550000000003</v>
      </c>
      <c r="J8" s="5">
        <f aca="true" t="shared" si="0" ref="J8:J25">I8/8278.07</f>
        <v>-0.011985341993967197</v>
      </c>
      <c r="L8" s="11"/>
    </row>
    <row r="9" spans="1:12" ht="15">
      <c r="A9" s="2">
        <v>3</v>
      </c>
      <c r="B9" s="3" t="s">
        <v>19</v>
      </c>
      <c r="C9" s="24" t="s">
        <v>34</v>
      </c>
      <c r="D9" s="7"/>
      <c r="E9" s="7"/>
      <c r="F9" s="4">
        <f>2100.286-1026.385</f>
        <v>1073.901</v>
      </c>
      <c r="G9" s="4">
        <f>432.7462+211.96+43.73</f>
        <v>688.4362</v>
      </c>
      <c r="H9" s="4">
        <f>44</f>
        <v>44</v>
      </c>
      <c r="I9" s="6">
        <f>24.9084</f>
        <v>24.9084</v>
      </c>
      <c r="J9" s="5">
        <f t="shared" si="0"/>
        <v>0.0030089622339506674</v>
      </c>
      <c r="L9" s="11"/>
    </row>
    <row r="10" spans="1:10" ht="15">
      <c r="A10" s="2">
        <v>4</v>
      </c>
      <c r="B10" s="3" t="s">
        <v>10</v>
      </c>
      <c r="C10" s="6"/>
      <c r="D10" s="7"/>
      <c r="E10" s="7"/>
      <c r="F10" s="4">
        <f>F8+F9</f>
        <v>1831.101</v>
      </c>
      <c r="G10" s="4">
        <f>755.1006+567.95+70.09+67.36+31.34</f>
        <v>1491.8405999999998</v>
      </c>
      <c r="H10" s="4">
        <f>H8+H9</f>
        <v>97.01</v>
      </c>
      <c r="I10" s="6">
        <v>0</v>
      </c>
      <c r="J10" s="5">
        <f t="shared" si="0"/>
        <v>0</v>
      </c>
    </row>
    <row r="11" spans="1:10" ht="15">
      <c r="A11" s="29">
        <v>5</v>
      </c>
      <c r="B11" s="3" t="s">
        <v>15</v>
      </c>
      <c r="C11" s="6"/>
      <c r="D11" s="8">
        <v>7929</v>
      </c>
      <c r="E11" s="8">
        <v>7991</v>
      </c>
      <c r="F11" s="5">
        <f>(E11-D11)*15</f>
        <v>930</v>
      </c>
      <c r="G11" s="6">
        <v>0</v>
      </c>
      <c r="H11" s="6">
        <v>0</v>
      </c>
      <c r="I11" s="6">
        <f aca="true" t="shared" si="1" ref="I11:I22">F11-G11-H11</f>
        <v>930</v>
      </c>
      <c r="J11" s="5">
        <f t="shared" si="0"/>
        <v>0.11234502728292949</v>
      </c>
    </row>
    <row r="12" spans="1:10" ht="15">
      <c r="A12" s="30"/>
      <c r="B12" s="3" t="s">
        <v>16</v>
      </c>
      <c r="C12" s="6"/>
      <c r="D12" s="8">
        <v>5742</v>
      </c>
      <c r="E12" s="8">
        <v>5785</v>
      </c>
      <c r="F12" s="5">
        <f>(E12-D12)*15</f>
        <v>645</v>
      </c>
      <c r="G12" s="6">
        <v>0</v>
      </c>
      <c r="H12" s="6">
        <v>0</v>
      </c>
      <c r="I12" s="6">
        <f t="shared" si="1"/>
        <v>645</v>
      </c>
      <c r="J12" s="5">
        <f t="shared" si="0"/>
        <v>0.07791671247041883</v>
      </c>
    </row>
    <row r="13" spans="1:10" ht="15">
      <c r="A13" s="30"/>
      <c r="B13" s="3" t="s">
        <v>17</v>
      </c>
      <c r="C13" s="6"/>
      <c r="D13" s="8">
        <v>5934</v>
      </c>
      <c r="E13" s="8">
        <v>5975</v>
      </c>
      <c r="F13" s="5">
        <f>(E13-D13)*10</f>
        <v>410</v>
      </c>
      <c r="G13" s="6">
        <v>0</v>
      </c>
      <c r="H13" s="6">
        <v>0</v>
      </c>
      <c r="I13" s="6">
        <f t="shared" si="1"/>
        <v>410</v>
      </c>
      <c r="J13" s="5">
        <f t="shared" si="0"/>
        <v>0.04952845288817321</v>
      </c>
    </row>
    <row r="14" spans="1:10" ht="15">
      <c r="A14" s="30"/>
      <c r="B14" s="3" t="s">
        <v>18</v>
      </c>
      <c r="C14" s="6"/>
      <c r="D14" s="8">
        <v>4342</v>
      </c>
      <c r="E14" s="8">
        <v>4371</v>
      </c>
      <c r="F14" s="5">
        <f>(E14-D14)*10</f>
        <v>290</v>
      </c>
      <c r="G14" s="6">
        <v>0</v>
      </c>
      <c r="H14" s="6">
        <v>0</v>
      </c>
      <c r="I14" s="6">
        <f t="shared" si="1"/>
        <v>290</v>
      </c>
      <c r="J14" s="5">
        <f t="shared" si="0"/>
        <v>0.03503232033553715</v>
      </c>
    </row>
    <row r="15" spans="1:10" ht="15">
      <c r="A15" s="30"/>
      <c r="B15" s="3" t="s">
        <v>23</v>
      </c>
      <c r="C15" s="6"/>
      <c r="D15" s="13">
        <v>16995</v>
      </c>
      <c r="E15" s="13">
        <v>18558</v>
      </c>
      <c r="F15" s="9">
        <f>(E15-D15)*1</f>
        <v>1563</v>
      </c>
      <c r="G15" s="6">
        <v>0</v>
      </c>
      <c r="H15" s="6">
        <v>0</v>
      </c>
      <c r="I15" s="6">
        <f t="shared" si="1"/>
        <v>1563</v>
      </c>
      <c r="J15" s="5">
        <f t="shared" si="0"/>
        <v>0.1888121264980847</v>
      </c>
    </row>
    <row r="16" spans="1:10" ht="15">
      <c r="A16" s="30"/>
      <c r="B16" s="3" t="s">
        <v>24</v>
      </c>
      <c r="C16" s="6"/>
      <c r="D16" s="13">
        <v>10965</v>
      </c>
      <c r="E16" s="13">
        <v>11624</v>
      </c>
      <c r="F16" s="9">
        <f>(E16-D16)*1</f>
        <v>659</v>
      </c>
      <c r="G16" s="6">
        <v>0</v>
      </c>
      <c r="H16" s="6">
        <v>0</v>
      </c>
      <c r="I16" s="6">
        <f t="shared" si="1"/>
        <v>659</v>
      </c>
      <c r="J16" s="5">
        <f t="shared" si="0"/>
        <v>0.07960792793489303</v>
      </c>
    </row>
    <row r="17" spans="1:12" ht="15">
      <c r="A17" s="30"/>
      <c r="B17" s="3" t="s">
        <v>25</v>
      </c>
      <c r="C17" s="6"/>
      <c r="D17" s="13">
        <v>3951</v>
      </c>
      <c r="E17" s="13">
        <v>4349</v>
      </c>
      <c r="F17" s="9">
        <f>(E17-D17)*1</f>
        <v>398</v>
      </c>
      <c r="G17" s="6">
        <v>0</v>
      </c>
      <c r="H17" s="6">
        <v>0</v>
      </c>
      <c r="I17" s="6">
        <f t="shared" si="1"/>
        <v>398</v>
      </c>
      <c r="J17" s="5">
        <f t="shared" si="0"/>
        <v>0.048078839632909605</v>
      </c>
      <c r="K17" s="12"/>
      <c r="L17" s="11"/>
    </row>
    <row r="18" spans="1:12" ht="15">
      <c r="A18" s="30"/>
      <c r="B18" s="3" t="s">
        <v>26</v>
      </c>
      <c r="C18" s="6"/>
      <c r="D18" s="13">
        <v>5494</v>
      </c>
      <c r="E18" s="13">
        <v>6019</v>
      </c>
      <c r="F18" s="9">
        <f>(E18-D18)*1</f>
        <v>525</v>
      </c>
      <c r="G18" s="6">
        <v>0</v>
      </c>
      <c r="H18" s="6">
        <v>0</v>
      </c>
      <c r="I18" s="6">
        <f t="shared" si="1"/>
        <v>525</v>
      </c>
      <c r="J18" s="5">
        <f t="shared" si="0"/>
        <v>0.06342057991778277</v>
      </c>
      <c r="K18" s="12"/>
      <c r="L18" s="11"/>
    </row>
    <row r="19" spans="1:10" ht="15">
      <c r="A19" s="30"/>
      <c r="B19" s="3" t="s">
        <v>27</v>
      </c>
      <c r="C19" s="6"/>
      <c r="D19" s="13">
        <v>33016</v>
      </c>
      <c r="E19" s="13">
        <v>33261</v>
      </c>
      <c r="F19" s="9">
        <f>(E19-D19)*4</f>
        <v>980</v>
      </c>
      <c r="G19" s="6">
        <v>0</v>
      </c>
      <c r="H19" s="6">
        <v>0</v>
      </c>
      <c r="I19" s="6">
        <f t="shared" si="1"/>
        <v>980</v>
      </c>
      <c r="J19" s="5">
        <f t="shared" si="0"/>
        <v>0.1183850825131945</v>
      </c>
    </row>
    <row r="20" spans="1:10" ht="15">
      <c r="A20" s="30"/>
      <c r="B20" s="3" t="s">
        <v>28</v>
      </c>
      <c r="C20" s="6"/>
      <c r="D20" s="13">
        <v>35077</v>
      </c>
      <c r="E20" s="13">
        <v>35355</v>
      </c>
      <c r="F20" s="9">
        <f>(E20-D20)*4</f>
        <v>1112</v>
      </c>
      <c r="G20" s="6">
        <v>0</v>
      </c>
      <c r="H20" s="6">
        <v>0</v>
      </c>
      <c r="I20" s="6">
        <f t="shared" si="1"/>
        <v>1112</v>
      </c>
      <c r="J20" s="5">
        <f t="shared" si="0"/>
        <v>0.13433082832109416</v>
      </c>
    </row>
    <row r="21" spans="1:10" ht="15">
      <c r="A21" s="30"/>
      <c r="B21" s="3" t="s">
        <v>29</v>
      </c>
      <c r="C21" s="6"/>
      <c r="D21" s="13">
        <v>4193</v>
      </c>
      <c r="E21" s="13">
        <v>4209</v>
      </c>
      <c r="F21" s="9">
        <f>(E21-D21)*4</f>
        <v>64</v>
      </c>
      <c r="G21" s="6">
        <v>0</v>
      </c>
      <c r="H21" s="6">
        <v>0</v>
      </c>
      <c r="I21" s="6">
        <f t="shared" si="1"/>
        <v>64</v>
      </c>
      <c r="J21" s="5">
        <f t="shared" si="0"/>
        <v>0.007731270694739233</v>
      </c>
    </row>
    <row r="22" spans="1:10" ht="15">
      <c r="A22" s="30"/>
      <c r="B22" s="3" t="s">
        <v>30</v>
      </c>
      <c r="C22" s="6"/>
      <c r="D22" s="13">
        <v>1399</v>
      </c>
      <c r="E22" s="13">
        <v>1399</v>
      </c>
      <c r="F22" s="9">
        <f>(E22-D22)*4</f>
        <v>0</v>
      </c>
      <c r="G22" s="6">
        <v>0</v>
      </c>
      <c r="H22" s="6">
        <v>0</v>
      </c>
      <c r="I22" s="6">
        <f t="shared" si="1"/>
        <v>0</v>
      </c>
      <c r="J22" s="5">
        <f t="shared" si="0"/>
        <v>0</v>
      </c>
    </row>
    <row r="23" spans="1:10" ht="15">
      <c r="A23" s="31"/>
      <c r="B23" s="22" t="s">
        <v>14</v>
      </c>
      <c r="C23" s="22"/>
      <c r="D23" s="9"/>
      <c r="E23" s="22"/>
      <c r="F23" s="4">
        <f>SUM(F11:F22)</f>
        <v>7576</v>
      </c>
      <c r="G23" s="4">
        <f>SUM(G11:G22)</f>
        <v>0</v>
      </c>
      <c r="H23" s="4">
        <f>SUM(H11:H22)</f>
        <v>0</v>
      </c>
      <c r="I23" s="4">
        <f>SUM(I11:I22)</f>
        <v>7576</v>
      </c>
      <c r="J23" s="5">
        <f t="shared" si="0"/>
        <v>0.9151891684897567</v>
      </c>
    </row>
    <row r="24" spans="1:10" ht="15">
      <c r="A24" s="1"/>
      <c r="B24" s="1"/>
      <c r="C24" s="1"/>
      <c r="D24" s="1"/>
      <c r="E24" s="1" t="s">
        <v>21</v>
      </c>
      <c r="F24" s="23">
        <f>F11+F13+F15+F17+F19+F21</f>
        <v>4345</v>
      </c>
      <c r="G24" s="23">
        <f>G11+G13+G15+G17</f>
        <v>0</v>
      </c>
      <c r="H24" s="23">
        <f>H11+H13+H15+H17</f>
        <v>0</v>
      </c>
      <c r="I24" s="23">
        <f>I11+I13+I15+I17+I19+I21</f>
        <v>4345</v>
      </c>
      <c r="J24" s="5">
        <f t="shared" si="0"/>
        <v>0.5248807995100307</v>
      </c>
    </row>
    <row r="25" spans="1:10" ht="15">
      <c r="A25" s="1"/>
      <c r="B25" s="1"/>
      <c r="C25" s="1"/>
      <c r="D25" s="1"/>
      <c r="E25" s="1" t="s">
        <v>20</v>
      </c>
      <c r="F25" s="10">
        <f>F12+F14+F16+F18+F20+F22</f>
        <v>3231</v>
      </c>
      <c r="G25" s="10">
        <f>G12+G14+G16+G18</f>
        <v>0</v>
      </c>
      <c r="H25" s="10">
        <f>H12+H14+H16+H18</f>
        <v>0</v>
      </c>
      <c r="I25" s="10">
        <f>I12+I14+I16+I18+I20+I22</f>
        <v>3231</v>
      </c>
      <c r="J25" s="5">
        <f t="shared" si="0"/>
        <v>0.390308368979726</v>
      </c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">
    <mergeCell ref="D5:E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8"/>
  <sheetViews>
    <sheetView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6" sqref="C6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6.7109375" style="0" customWidth="1"/>
    <col min="6" max="6" width="15.421875" style="0" customWidth="1"/>
    <col min="7" max="7" width="12.140625" style="0" customWidth="1"/>
    <col min="8" max="8" width="11.57421875" style="0" customWidth="1"/>
    <col min="9" max="9" width="9.57421875" style="0" bestFit="1" customWidth="1"/>
  </cols>
  <sheetData>
    <row r="3" spans="2:3" ht="15.75">
      <c r="B3" s="14" t="s">
        <v>35</v>
      </c>
      <c r="C3" s="14"/>
    </row>
    <row r="4" spans="1:8" ht="15">
      <c r="A4" s="32" t="s">
        <v>8</v>
      </c>
      <c r="B4" s="32"/>
      <c r="C4" s="32"/>
      <c r="D4" s="32"/>
      <c r="E4" s="32"/>
      <c r="F4" s="32"/>
      <c r="G4" s="32"/>
      <c r="H4" s="32"/>
    </row>
    <row r="5" spans="1:8" ht="90" customHeight="1">
      <c r="A5" s="16" t="s">
        <v>0</v>
      </c>
      <c r="B5" s="34" t="s">
        <v>1</v>
      </c>
      <c r="C5" s="16" t="s">
        <v>2</v>
      </c>
      <c r="D5" s="16" t="s">
        <v>11</v>
      </c>
      <c r="E5" s="16" t="s">
        <v>3</v>
      </c>
      <c r="F5" s="16" t="s">
        <v>4</v>
      </c>
      <c r="G5" s="16" t="s">
        <v>5</v>
      </c>
      <c r="H5" s="34" t="s">
        <v>6</v>
      </c>
    </row>
    <row r="6" spans="1:8" ht="21.75" customHeight="1">
      <c r="A6" s="26"/>
      <c r="B6" s="28"/>
      <c r="C6" s="26"/>
      <c r="D6" s="26"/>
      <c r="E6" s="26"/>
      <c r="F6" s="26"/>
      <c r="G6" s="26"/>
      <c r="H6" s="28"/>
    </row>
    <row r="7" spans="1:10" ht="15">
      <c r="A7" s="17">
        <v>1</v>
      </c>
      <c r="B7" s="18" t="s">
        <v>22</v>
      </c>
      <c r="C7" s="17"/>
      <c r="D7" s="17">
        <f>68.44+0.97+2.91+0.65+0.65</f>
        <v>73.62</v>
      </c>
      <c r="E7" s="21">
        <f>E8*0.0478</f>
        <v>35.1195682</v>
      </c>
      <c r="F7" s="21">
        <f>0.97+2.91+0.65+0.65</f>
        <v>5.180000000000001</v>
      </c>
      <c r="G7" s="6">
        <f>G8*0.0478</f>
        <v>1.19062152</v>
      </c>
      <c r="H7" s="5">
        <f>G7/8278.07</f>
        <v>0.00014382839478284192</v>
      </c>
      <c r="J7" s="11"/>
    </row>
    <row r="8" spans="1:10" ht="15">
      <c r="A8" s="2">
        <v>2</v>
      </c>
      <c r="B8" s="3" t="s">
        <v>9</v>
      </c>
      <c r="C8" s="5"/>
      <c r="D8" s="5">
        <f>833.2+11.79+35.37+7.67+7.67</f>
        <v>895.6999999999999</v>
      </c>
      <c r="E8" s="4">
        <f>364.509+349.66+20.55</f>
        <v>734.719</v>
      </c>
      <c r="F8" s="4">
        <f>11.79+35.37+7.67+7.67</f>
        <v>62.5</v>
      </c>
      <c r="G8" s="6">
        <v>24.9084</v>
      </c>
      <c r="H8" s="5">
        <f aca="true" t="shared" si="0" ref="H8:H13">G8/8278.07</f>
        <v>0.0030089622339506674</v>
      </c>
      <c r="J8" s="11"/>
    </row>
    <row r="9" spans="1:10" ht="15">
      <c r="A9" s="2">
        <v>3</v>
      </c>
      <c r="B9" s="3" t="s">
        <v>19</v>
      </c>
      <c r="C9" s="24" t="s">
        <v>36</v>
      </c>
      <c r="D9" s="4">
        <f>3029.907-2107.994</f>
        <v>921.913</v>
      </c>
      <c r="E9" s="4">
        <f>435.2067+377.27+16.07</f>
        <v>828.5467</v>
      </c>
      <c r="F9" s="4">
        <f>42</f>
        <v>42</v>
      </c>
      <c r="G9" s="6">
        <f>24.9084</f>
        <v>24.9084</v>
      </c>
      <c r="H9" s="5">
        <f t="shared" si="0"/>
        <v>0.0030089622339506674</v>
      </c>
      <c r="J9" s="11"/>
    </row>
    <row r="10" spans="1:8" ht="15">
      <c r="A10" s="2">
        <v>4</v>
      </c>
      <c r="B10" s="3" t="s">
        <v>10</v>
      </c>
      <c r="C10" s="6"/>
      <c r="D10" s="4">
        <f>D8+D9</f>
        <v>1817.6129999999998</v>
      </c>
      <c r="E10" s="4">
        <f>733.0173+666+34.99+68.5483+0.15+31.1</f>
        <v>1533.8056</v>
      </c>
      <c r="F10" s="4">
        <f>F8+F9</f>
        <v>104.5</v>
      </c>
      <c r="G10" s="6">
        <v>0</v>
      </c>
      <c r="H10" s="5">
        <f t="shared" si="0"/>
        <v>0</v>
      </c>
    </row>
    <row r="11" spans="1:8" ht="15">
      <c r="A11" s="29">
        <v>5</v>
      </c>
      <c r="B11" s="35" t="s">
        <v>37</v>
      </c>
      <c r="C11" s="6"/>
      <c r="D11" s="5">
        <f>20676</f>
        <v>20676</v>
      </c>
      <c r="E11" s="6">
        <v>12253</v>
      </c>
      <c r="F11" s="6">
        <v>0</v>
      </c>
      <c r="G11" s="6">
        <f>6221.0417+697.9575</f>
        <v>6918.9992</v>
      </c>
      <c r="H11" s="5">
        <f t="shared" si="0"/>
        <v>0.8358227461231906</v>
      </c>
    </row>
    <row r="12" spans="1:8" ht="15">
      <c r="A12" s="30"/>
      <c r="B12" s="35" t="s">
        <v>38</v>
      </c>
      <c r="C12" s="6"/>
      <c r="D12" s="5">
        <f>14916</f>
        <v>14916</v>
      </c>
      <c r="E12" s="6">
        <v>5985</v>
      </c>
      <c r="F12" s="6">
        <v>0</v>
      </c>
      <c r="G12" s="6">
        <v>0</v>
      </c>
      <c r="H12" s="5">
        <f t="shared" si="0"/>
        <v>0</v>
      </c>
    </row>
    <row r="13" spans="1:8" ht="15">
      <c r="A13" s="31"/>
      <c r="B13" s="22" t="s">
        <v>14</v>
      </c>
      <c r="C13" s="22"/>
      <c r="D13" s="4">
        <f>SUM(D11:D12)</f>
        <v>35592</v>
      </c>
      <c r="E13" s="4">
        <f>SUM(E11:E12)</f>
        <v>18238</v>
      </c>
      <c r="F13" s="4">
        <f>SUM(F11:F12)</f>
        <v>0</v>
      </c>
      <c r="G13" s="4">
        <f>SUM(G11:G12)</f>
        <v>6918.9992</v>
      </c>
      <c r="H13" s="5">
        <f t="shared" si="0"/>
        <v>0.8358227461231906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8"/>
  <sheetViews>
    <sheetView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5" sqref="C5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6.7109375" style="0" customWidth="1"/>
    <col min="6" max="6" width="15.421875" style="0" customWidth="1"/>
    <col min="7" max="7" width="12.140625" style="0" customWidth="1"/>
    <col min="8" max="8" width="11.57421875" style="0" customWidth="1"/>
    <col min="9" max="9" width="9.57421875" style="0" bestFit="1" customWidth="1"/>
  </cols>
  <sheetData>
    <row r="3" spans="2:3" ht="15.75">
      <c r="B3" s="14" t="s">
        <v>39</v>
      </c>
      <c r="C3" s="14"/>
    </row>
    <row r="4" spans="1:8" ht="15">
      <c r="A4" s="32" t="s">
        <v>8</v>
      </c>
      <c r="B4" s="32"/>
      <c r="C4" s="32"/>
      <c r="D4" s="32"/>
      <c r="E4" s="32"/>
      <c r="F4" s="32"/>
      <c r="G4" s="32"/>
      <c r="H4" s="32"/>
    </row>
    <row r="5" spans="1:8" ht="90" customHeight="1">
      <c r="A5" s="16" t="s">
        <v>0</v>
      </c>
      <c r="B5" s="34" t="s">
        <v>1</v>
      </c>
      <c r="C5" s="16" t="s">
        <v>2</v>
      </c>
      <c r="D5" s="16" t="s">
        <v>11</v>
      </c>
      <c r="E5" s="16" t="s">
        <v>3</v>
      </c>
      <c r="F5" s="16" t="s">
        <v>4</v>
      </c>
      <c r="G5" s="16" t="s">
        <v>5</v>
      </c>
      <c r="H5" s="34" t="s">
        <v>6</v>
      </c>
    </row>
    <row r="6" spans="1:8" ht="21.75" customHeight="1">
      <c r="A6" s="26"/>
      <c r="B6" s="28"/>
      <c r="C6" s="26"/>
      <c r="D6" s="26"/>
      <c r="E6" s="26"/>
      <c r="F6" s="26"/>
      <c r="G6" s="26"/>
      <c r="H6" s="28"/>
    </row>
    <row r="7" spans="1:10" ht="15">
      <c r="A7" s="17">
        <v>1</v>
      </c>
      <c r="B7" s="18" t="s">
        <v>22</v>
      </c>
      <c r="C7" s="17"/>
      <c r="D7" s="17">
        <f>62.77</f>
        <v>62.77</v>
      </c>
      <c r="E7" s="21">
        <f>E8*0.0478</f>
        <v>54.895494140000004</v>
      </c>
      <c r="F7" s="21">
        <f>0.83+2.49+0.55+0.55</f>
        <v>4.42</v>
      </c>
      <c r="G7" s="6">
        <f>24.9084*0.0478</f>
        <v>1.19062152</v>
      </c>
      <c r="H7" s="5">
        <f>G7/8278.07</f>
        <v>0.00014382839478284192</v>
      </c>
      <c r="J7" s="11"/>
    </row>
    <row r="8" spans="1:10" ht="15">
      <c r="A8" s="2">
        <v>2</v>
      </c>
      <c r="B8" s="3" t="s">
        <v>9</v>
      </c>
      <c r="C8" s="5"/>
      <c r="D8" s="21">
        <f>837.2</f>
        <v>837.2</v>
      </c>
      <c r="E8" s="4">
        <f>352.6213+368.03+427.79</f>
        <v>1148.4413</v>
      </c>
      <c r="F8" s="4">
        <f>58.42</f>
        <v>58.42</v>
      </c>
      <c r="G8" s="6">
        <f>-317.0127</f>
        <v>-317.0127</v>
      </c>
      <c r="H8" s="5">
        <f aca="true" t="shared" si="0" ref="H8:H13">G8/8278.07</f>
        <v>-0.03829548433390875</v>
      </c>
      <c r="J8" s="11"/>
    </row>
    <row r="9" spans="1:10" ht="15">
      <c r="A9" s="2">
        <v>3</v>
      </c>
      <c r="B9" s="3" t="s">
        <v>19</v>
      </c>
      <c r="C9" s="24" t="s">
        <v>40</v>
      </c>
      <c r="D9" s="4">
        <f>4028.047-3032.593</f>
        <v>995.4540000000002</v>
      </c>
      <c r="E9" s="4">
        <f>412.25+472.29+103.35</f>
        <v>987.89</v>
      </c>
      <c r="F9" s="4">
        <f>60</f>
        <v>60</v>
      </c>
      <c r="G9" s="6">
        <f>-51.1011</f>
        <v>-51.1011</v>
      </c>
      <c r="H9" s="5">
        <f t="shared" si="0"/>
        <v>-0.006173069326545922</v>
      </c>
      <c r="J9" s="11"/>
    </row>
    <row r="10" spans="1:8" ht="15">
      <c r="A10" s="2">
        <v>4</v>
      </c>
      <c r="B10" s="3" t="s">
        <v>10</v>
      </c>
      <c r="C10" s="6"/>
      <c r="D10" s="4">
        <f>D8+D9</f>
        <v>1832.6540000000002</v>
      </c>
      <c r="E10" s="4">
        <f>717.66+783.01+528.8+76.5355+0.2213+33.34</f>
        <v>2139.5668000000005</v>
      </c>
      <c r="F10" s="4">
        <f>118.42</f>
        <v>118.42</v>
      </c>
      <c r="G10" s="6">
        <v>0</v>
      </c>
      <c r="H10" s="5">
        <f t="shared" si="0"/>
        <v>0</v>
      </c>
    </row>
    <row r="11" spans="1:8" ht="15">
      <c r="A11" s="29">
        <v>5</v>
      </c>
      <c r="B11" s="36" t="s">
        <v>37</v>
      </c>
      <c r="C11" s="6"/>
      <c r="D11" s="5">
        <f>11992</f>
        <v>11992</v>
      </c>
      <c r="E11" s="6">
        <f>15403.3</f>
        <v>15403.3</v>
      </c>
      <c r="F11" s="6">
        <v>0</v>
      </c>
      <c r="G11" s="6">
        <f>-3249.05</f>
        <v>-3249.05</v>
      </c>
      <c r="H11" s="5">
        <f t="shared" si="0"/>
        <v>-0.39248882891785164</v>
      </c>
    </row>
    <row r="12" spans="1:8" ht="15">
      <c r="A12" s="30"/>
      <c r="B12" s="36" t="s">
        <v>38</v>
      </c>
      <c r="C12" s="6"/>
      <c r="D12" s="5">
        <v>8918</v>
      </c>
      <c r="E12" s="6">
        <f>8090</f>
        <v>8090</v>
      </c>
      <c r="F12" s="6">
        <v>0</v>
      </c>
      <c r="G12" s="6">
        <f>769.8878</f>
        <v>769.8878</v>
      </c>
      <c r="H12" s="5">
        <f t="shared" si="0"/>
        <v>0.09300329666214467</v>
      </c>
    </row>
    <row r="13" spans="1:8" ht="15">
      <c r="A13" s="31"/>
      <c r="B13" s="22" t="s">
        <v>14</v>
      </c>
      <c r="C13" s="22"/>
      <c r="D13" s="4">
        <f>SUM(D11:D12)</f>
        <v>20910</v>
      </c>
      <c r="E13" s="4">
        <f>SUM(E11:E12)</f>
        <v>23493.3</v>
      </c>
      <c r="F13" s="4">
        <f>SUM(F11:F12)</f>
        <v>0</v>
      </c>
      <c r="G13" s="4">
        <f>SUM(G11:G12)</f>
        <v>-2479.1622</v>
      </c>
      <c r="H13" s="5">
        <f t="shared" si="0"/>
        <v>-0.299485532255707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8"/>
  <sheetViews>
    <sheetView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7" sqref="E7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6.7109375" style="0" customWidth="1"/>
    <col min="6" max="6" width="15.421875" style="0" customWidth="1"/>
    <col min="7" max="7" width="12.140625" style="0" customWidth="1"/>
    <col min="8" max="8" width="11.57421875" style="0" customWidth="1"/>
    <col min="9" max="9" width="9.57421875" style="0" bestFit="1" customWidth="1"/>
  </cols>
  <sheetData>
    <row r="3" spans="2:3" ht="15.75">
      <c r="B3" s="14" t="s">
        <v>41</v>
      </c>
      <c r="C3" s="14"/>
    </row>
    <row r="4" spans="1:8" ht="15">
      <c r="A4" s="32" t="s">
        <v>8</v>
      </c>
      <c r="B4" s="32"/>
      <c r="C4" s="32"/>
      <c r="D4" s="32"/>
      <c r="E4" s="32"/>
      <c r="F4" s="32"/>
      <c r="G4" s="32"/>
      <c r="H4" s="32"/>
    </row>
    <row r="5" spans="1:8" ht="90" customHeight="1">
      <c r="A5" s="16" t="s">
        <v>0</v>
      </c>
      <c r="B5" s="34" t="s">
        <v>1</v>
      </c>
      <c r="C5" s="16" t="s">
        <v>2</v>
      </c>
      <c r="D5" s="16" t="s">
        <v>11</v>
      </c>
      <c r="E5" s="16" t="s">
        <v>3</v>
      </c>
      <c r="F5" s="16" t="s">
        <v>4</v>
      </c>
      <c r="G5" s="16" t="s">
        <v>5</v>
      </c>
      <c r="H5" s="34" t="s">
        <v>6</v>
      </c>
    </row>
    <row r="6" spans="1:8" ht="21.75" customHeight="1">
      <c r="A6" s="26"/>
      <c r="B6" s="28"/>
      <c r="C6" s="26"/>
      <c r="D6" s="26"/>
      <c r="E6" s="26"/>
      <c r="F6" s="26"/>
      <c r="G6" s="26"/>
      <c r="H6" s="28"/>
    </row>
    <row r="7" spans="1:10" ht="15">
      <c r="A7" s="17">
        <v>1</v>
      </c>
      <c r="B7" s="18" t="s">
        <v>22</v>
      </c>
      <c r="C7" s="17"/>
      <c r="D7" s="17">
        <f>53.67</f>
        <v>53.67</v>
      </c>
      <c r="E7" s="21">
        <f>E8*0.0478+0.5958</f>
        <v>29.93145826</v>
      </c>
      <c r="F7" s="37">
        <f>F8*0.0478</f>
        <v>2.835974</v>
      </c>
      <c r="G7" s="38">
        <f>G8*0.0478-0.0006</f>
        <v>1.1900645400000003</v>
      </c>
      <c r="H7" s="5">
        <f>G7/8278.57</f>
        <v>0.00014375242825753726</v>
      </c>
      <c r="J7" s="11"/>
    </row>
    <row r="8" spans="1:10" ht="15">
      <c r="A8" s="2">
        <v>2</v>
      </c>
      <c r="B8" s="3" t="s">
        <v>9</v>
      </c>
      <c r="C8" s="5"/>
      <c r="D8" s="21">
        <f>850.4</f>
        <v>850.4</v>
      </c>
      <c r="E8" s="4">
        <f>420.42-38.1333+218.9+12.53</f>
        <v>613.7167</v>
      </c>
      <c r="F8" s="4">
        <f>59.33</f>
        <v>59.33</v>
      </c>
      <c r="G8" s="6">
        <f>24.9093</f>
        <v>24.9093</v>
      </c>
      <c r="H8" s="5">
        <f aca="true" t="shared" si="0" ref="H8:H13">G8/8278.57</f>
        <v>0.003008889216374326</v>
      </c>
      <c r="J8" s="11"/>
    </row>
    <row r="9" spans="1:10" ht="15">
      <c r="A9" s="2">
        <v>3</v>
      </c>
      <c r="B9" s="3" t="s">
        <v>19</v>
      </c>
      <c r="C9" s="24" t="s">
        <v>42</v>
      </c>
      <c r="D9" s="4">
        <f>4999.386-4024.49</f>
        <v>974.8960000000006</v>
      </c>
      <c r="E9" s="4">
        <f>364.7497-32.848+347.87+50</f>
        <v>729.7717</v>
      </c>
      <c r="F9" s="4">
        <f>45</f>
        <v>45</v>
      </c>
      <c r="G9" s="6">
        <f>24.9093</f>
        <v>24.9093</v>
      </c>
      <c r="H9" s="5">
        <f t="shared" si="0"/>
        <v>0.003008889216374326</v>
      </c>
      <c r="J9" s="11"/>
    </row>
    <row r="10" spans="1:8" ht="15">
      <c r="A10" s="2">
        <v>4</v>
      </c>
      <c r="B10" s="3" t="s">
        <v>10</v>
      </c>
      <c r="C10" s="6"/>
      <c r="D10" s="4">
        <f>D8+D9</f>
        <v>1825.2960000000007</v>
      </c>
      <c r="E10" s="4">
        <f>675.6963-70.9813+490.79+0.61+26.4+178.914+26.026+13.539+2.4947</f>
        <v>1343.4886999999999</v>
      </c>
      <c r="F10" s="4">
        <f>F8+F9</f>
        <v>104.33</v>
      </c>
      <c r="G10" s="6">
        <v>0</v>
      </c>
      <c r="H10" s="5">
        <f t="shared" si="0"/>
        <v>0</v>
      </c>
    </row>
    <row r="11" spans="1:8" ht="15">
      <c r="A11" s="29">
        <v>5</v>
      </c>
      <c r="B11" s="36" t="s">
        <v>37</v>
      </c>
      <c r="C11" s="6"/>
      <c r="D11" s="5">
        <f>17786</f>
        <v>17786</v>
      </c>
      <c r="E11" s="6">
        <f>15041.9</f>
        <v>15041.9</v>
      </c>
      <c r="F11" s="6">
        <f>750</f>
        <v>750</v>
      </c>
      <c r="G11" s="6">
        <f>1793.7168+200.3839</f>
        <v>1994.1007</v>
      </c>
      <c r="H11" s="5">
        <f t="shared" si="0"/>
        <v>0.24087501827006355</v>
      </c>
    </row>
    <row r="12" spans="1:8" ht="15">
      <c r="A12" s="30"/>
      <c r="B12" s="36" t="s">
        <v>38</v>
      </c>
      <c r="C12" s="6"/>
      <c r="D12" s="5">
        <f>12039</f>
        <v>12039</v>
      </c>
      <c r="E12" s="6">
        <v>5720</v>
      </c>
      <c r="F12" s="6">
        <v>0</v>
      </c>
      <c r="G12" s="6">
        <f>4430.0047+494.8951</f>
        <v>4924.8998</v>
      </c>
      <c r="H12" s="5">
        <f t="shared" si="0"/>
        <v>0.594897403778672</v>
      </c>
    </row>
    <row r="13" spans="1:8" ht="15">
      <c r="A13" s="31"/>
      <c r="B13" s="22" t="s">
        <v>14</v>
      </c>
      <c r="C13" s="22"/>
      <c r="D13" s="4">
        <f>SUM(D11:D12)</f>
        <v>29825</v>
      </c>
      <c r="E13" s="4">
        <f>SUM(E11:E12)</f>
        <v>20761.9</v>
      </c>
      <c r="F13" s="4">
        <f>SUM(F11:F12)</f>
        <v>750</v>
      </c>
      <c r="G13" s="4">
        <f>SUM(G11:G12)</f>
        <v>6919.0005</v>
      </c>
      <c r="H13" s="5">
        <f t="shared" si="0"/>
        <v>0.8357724220487355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8"/>
  <sheetViews>
    <sheetView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7" sqref="C7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6.7109375" style="0" customWidth="1"/>
    <col min="6" max="6" width="15.421875" style="0" customWidth="1"/>
    <col min="7" max="7" width="12.140625" style="0" customWidth="1"/>
    <col min="8" max="8" width="11.57421875" style="0" customWidth="1"/>
    <col min="9" max="9" width="9.57421875" style="0" bestFit="1" customWidth="1"/>
  </cols>
  <sheetData>
    <row r="3" spans="2:3" ht="15.75">
      <c r="B3" s="14" t="s">
        <v>43</v>
      </c>
      <c r="C3" s="14"/>
    </row>
    <row r="4" spans="1:8" ht="15">
      <c r="A4" s="32" t="s">
        <v>8</v>
      </c>
      <c r="B4" s="32"/>
      <c r="C4" s="32"/>
      <c r="D4" s="32"/>
      <c r="E4" s="32"/>
      <c r="F4" s="32"/>
      <c r="G4" s="32"/>
      <c r="H4" s="32"/>
    </row>
    <row r="5" spans="1:8" ht="90" customHeight="1">
      <c r="A5" s="16" t="s">
        <v>0</v>
      </c>
      <c r="B5" s="34" t="s">
        <v>1</v>
      </c>
      <c r="C5" s="16" t="s">
        <v>2</v>
      </c>
      <c r="D5" s="16" t="s">
        <v>11</v>
      </c>
      <c r="E5" s="16" t="s">
        <v>3</v>
      </c>
      <c r="F5" s="16" t="s">
        <v>4</v>
      </c>
      <c r="G5" s="16" t="s">
        <v>5</v>
      </c>
      <c r="H5" s="34" t="s">
        <v>6</v>
      </c>
    </row>
    <row r="6" spans="1:8" ht="21.75" customHeight="1">
      <c r="A6" s="26"/>
      <c r="B6" s="28"/>
      <c r="C6" s="26"/>
      <c r="D6" s="26"/>
      <c r="E6" s="26"/>
      <c r="F6" s="26"/>
      <c r="G6" s="26"/>
      <c r="H6" s="28"/>
    </row>
    <row r="7" spans="1:10" ht="15">
      <c r="A7" s="17">
        <v>1</v>
      </c>
      <c r="B7" s="18" t="s">
        <v>22</v>
      </c>
      <c r="C7" s="17"/>
      <c r="D7" s="21">
        <f>40.6</f>
        <v>40.6</v>
      </c>
      <c r="E7" s="21">
        <f>E8*0.0478-0.0547</f>
        <v>14.049397440000002</v>
      </c>
      <c r="F7" s="37">
        <f>F8*0.0478</f>
        <v>2.23704</v>
      </c>
      <c r="G7" s="38">
        <f>G8*0.0478-0.0005</f>
        <v>1.1901645400000003</v>
      </c>
      <c r="H7" s="5">
        <f aca="true" t="shared" si="0" ref="H7:H13">G7/8278.57</f>
        <v>0.00014376450763839652</v>
      </c>
      <c r="J7" s="11"/>
    </row>
    <row r="8" spans="1:10" ht="15">
      <c r="A8" s="2">
        <v>2</v>
      </c>
      <c r="B8" s="3" t="s">
        <v>9</v>
      </c>
      <c r="C8" s="5"/>
      <c r="D8" s="21">
        <f>670.8</f>
        <v>670.8</v>
      </c>
      <c r="E8" s="39">
        <f>429.3313-71.4065-83.02+20.16</f>
        <v>295.06480000000005</v>
      </c>
      <c r="F8" s="39">
        <f>46.8</f>
        <v>46.8</v>
      </c>
      <c r="G8" s="38">
        <f>24.9084+0.0009</f>
        <v>24.9093</v>
      </c>
      <c r="H8" s="5">
        <f t="shared" si="0"/>
        <v>0.003008889216374326</v>
      </c>
      <c r="J8" s="11"/>
    </row>
    <row r="9" spans="1:10" ht="15">
      <c r="A9" s="2">
        <v>3</v>
      </c>
      <c r="B9" s="3" t="s">
        <v>19</v>
      </c>
      <c r="C9" s="24" t="s">
        <v>44</v>
      </c>
      <c r="D9" s="4">
        <f>5894.764-4976.339</f>
        <v>918.4250000000002</v>
      </c>
      <c r="E9" s="39">
        <f>403.0819-67.1803+402.09+65.73</f>
        <v>803.7216000000001</v>
      </c>
      <c r="F9" s="39">
        <f>46</f>
        <v>46</v>
      </c>
      <c r="G9" s="38">
        <f>24.9084+0.0009</f>
        <v>24.9093</v>
      </c>
      <c r="H9" s="5">
        <f t="shared" si="0"/>
        <v>0.003008889216374326</v>
      </c>
      <c r="J9" s="11"/>
    </row>
    <row r="10" spans="1:8" ht="15">
      <c r="A10" s="2">
        <v>4</v>
      </c>
      <c r="B10" s="3" t="s">
        <v>10</v>
      </c>
      <c r="C10" s="6"/>
      <c r="D10" s="4">
        <f>D8+D9</f>
        <v>1589.2250000000001</v>
      </c>
      <c r="E10" s="4">
        <f>725.5832-138.5868+246.39+35.16+173.11+52.61+4.52</f>
        <v>1098.7863999999997</v>
      </c>
      <c r="F10" s="4">
        <f>F8+F9</f>
        <v>92.8</v>
      </c>
      <c r="G10" s="6">
        <v>0</v>
      </c>
      <c r="H10" s="5">
        <f t="shared" si="0"/>
        <v>0</v>
      </c>
    </row>
    <row r="11" spans="1:8" ht="15">
      <c r="A11" s="29">
        <v>5</v>
      </c>
      <c r="B11" s="36" t="s">
        <v>37</v>
      </c>
      <c r="C11" s="6"/>
      <c r="D11" s="6">
        <f>15255</f>
        <v>15255</v>
      </c>
      <c r="E11" s="6">
        <f>14486.7</f>
        <v>14486.7</v>
      </c>
      <c r="F11" s="6">
        <f>540</f>
        <v>540</v>
      </c>
      <c r="G11" s="38">
        <f>D11-E11-F11-0.0013</f>
        <v>228.2986999999993</v>
      </c>
      <c r="H11" s="5">
        <f t="shared" si="0"/>
        <v>0.027577069469727173</v>
      </c>
    </row>
    <row r="12" spans="1:8" ht="15">
      <c r="A12" s="30"/>
      <c r="B12" s="36" t="s">
        <v>38</v>
      </c>
      <c r="C12" s="6"/>
      <c r="D12" s="6">
        <f>11261</f>
        <v>11261</v>
      </c>
      <c r="E12" s="6">
        <f>6844</f>
        <v>6844</v>
      </c>
      <c r="F12" s="6">
        <v>0</v>
      </c>
      <c r="G12" s="38">
        <f>D12-E12-F12-0.0002</f>
        <v>4416.9998</v>
      </c>
      <c r="H12" s="5">
        <f t="shared" si="0"/>
        <v>0.5335462283945174</v>
      </c>
    </row>
    <row r="13" spans="1:8" ht="15">
      <c r="A13" s="31"/>
      <c r="B13" s="22" t="s">
        <v>14</v>
      </c>
      <c r="C13" s="22"/>
      <c r="D13" s="4">
        <f>SUM(D11:D12)</f>
        <v>26516</v>
      </c>
      <c r="E13" s="4">
        <f>SUM(E11:E12)</f>
        <v>21330.7</v>
      </c>
      <c r="F13" s="4">
        <f>SUM(F11:F12)</f>
        <v>540</v>
      </c>
      <c r="G13" s="4">
        <f>SUM(G11:G12)</f>
        <v>4645.298499999999</v>
      </c>
      <c r="H13" s="5">
        <f t="shared" si="0"/>
        <v>0.5611232978642445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8"/>
  <sheetViews>
    <sheetView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5" sqref="C5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6.7109375" style="0" customWidth="1"/>
    <col min="6" max="6" width="15.421875" style="0" customWidth="1"/>
    <col min="7" max="7" width="12.140625" style="0" customWidth="1"/>
    <col min="8" max="8" width="11.57421875" style="0" customWidth="1"/>
    <col min="9" max="9" width="9.57421875" style="0" bestFit="1" customWidth="1"/>
  </cols>
  <sheetData>
    <row r="3" spans="2:3" ht="15.75">
      <c r="B3" s="14" t="s">
        <v>45</v>
      </c>
      <c r="C3" s="14"/>
    </row>
    <row r="4" spans="1:8" ht="15">
      <c r="A4" s="32" t="s">
        <v>8</v>
      </c>
      <c r="B4" s="32"/>
      <c r="C4" s="32"/>
      <c r="D4" s="32"/>
      <c r="E4" s="32"/>
      <c r="F4" s="32"/>
      <c r="G4" s="32"/>
      <c r="H4" s="32"/>
    </row>
    <row r="5" spans="1:8" ht="90" customHeight="1">
      <c r="A5" s="16" t="s">
        <v>0</v>
      </c>
      <c r="B5" s="34" t="s">
        <v>1</v>
      </c>
      <c r="C5" s="16" t="s">
        <v>2</v>
      </c>
      <c r="D5" s="16" t="s">
        <v>11</v>
      </c>
      <c r="E5" s="16" t="s">
        <v>3</v>
      </c>
      <c r="F5" s="16" t="s">
        <v>4</v>
      </c>
      <c r="G5" s="16" t="s">
        <v>5</v>
      </c>
      <c r="H5" s="34" t="s">
        <v>6</v>
      </c>
    </row>
    <row r="6" spans="1:8" ht="21.75" customHeight="1">
      <c r="A6" s="26"/>
      <c r="B6" s="28"/>
      <c r="C6" s="26"/>
      <c r="D6" s="26"/>
      <c r="E6" s="26"/>
      <c r="F6" s="26"/>
      <c r="G6" s="26"/>
      <c r="H6" s="28"/>
    </row>
    <row r="7" spans="1:10" ht="15">
      <c r="A7" s="17">
        <v>1</v>
      </c>
      <c r="B7" s="18" t="s">
        <v>22</v>
      </c>
      <c r="C7" s="17"/>
      <c r="D7" s="21">
        <f>42.37+5.03</f>
        <v>47.4</v>
      </c>
      <c r="E7" s="21">
        <f>E8*0.0478-0.0032-0.0062</f>
        <v>31.63162836</v>
      </c>
      <c r="F7" s="37">
        <f>F8*0.0478</f>
        <v>2.7222100000000005</v>
      </c>
      <c r="G7" s="38">
        <f>G8*0.0478-0.0005</f>
        <v>1.1901645400000003</v>
      </c>
      <c r="H7" s="5">
        <f aca="true" t="shared" si="0" ref="H7:H13">G7/8278.57</f>
        <v>0.00014376450763839652</v>
      </c>
      <c r="J7" s="11"/>
    </row>
    <row r="8" spans="1:10" ht="15">
      <c r="A8" s="2">
        <v>2</v>
      </c>
      <c r="B8" s="3" t="s">
        <v>9</v>
      </c>
      <c r="C8" s="5"/>
      <c r="D8" s="21">
        <f>695.4+105.85</f>
        <v>801.25</v>
      </c>
      <c r="E8" s="39">
        <f>392.8684+301.18+33.24-65.3419-0.0003</f>
        <v>661.9462</v>
      </c>
      <c r="F8" s="39">
        <f>56.95</f>
        <v>56.95</v>
      </c>
      <c r="G8" s="38">
        <f>24.9084+0.0009</f>
        <v>24.9093</v>
      </c>
      <c r="H8" s="5">
        <f t="shared" si="0"/>
        <v>0.003008889216374326</v>
      </c>
      <c r="J8" s="11"/>
    </row>
    <row r="9" spans="1:10" ht="15">
      <c r="A9" s="2">
        <v>3</v>
      </c>
      <c r="B9" s="3" t="s">
        <v>19</v>
      </c>
      <c r="C9" s="24" t="s">
        <v>46</v>
      </c>
      <c r="D9" s="4">
        <f>152.192+760.959</f>
        <v>913.151</v>
      </c>
      <c r="E9" s="39">
        <f>384.12+459.73+52.56-64.02+0.001</f>
        <v>832.3910000000001</v>
      </c>
      <c r="F9" s="39">
        <f>61</f>
        <v>61</v>
      </c>
      <c r="G9" s="38">
        <f>19.7597</f>
        <v>19.7597</v>
      </c>
      <c r="H9" s="5">
        <f t="shared" si="0"/>
        <v>0.0023868494196461467</v>
      </c>
      <c r="J9" s="11"/>
    </row>
    <row r="10" spans="1:8" ht="15">
      <c r="A10" s="2">
        <v>4</v>
      </c>
      <c r="B10" s="3" t="s">
        <v>10</v>
      </c>
      <c r="C10" s="6"/>
      <c r="D10" s="4">
        <f>D8+D9</f>
        <v>1714.4009999999998</v>
      </c>
      <c r="E10" s="39">
        <f>567.4931+683.07+74+159.2384+0.9061+8.86+0.77</f>
        <v>1494.3375999999998</v>
      </c>
      <c r="F10" s="39">
        <f>F8+F9</f>
        <v>117.95</v>
      </c>
      <c r="G10" s="38">
        <v>0</v>
      </c>
      <c r="H10" s="5">
        <f t="shared" si="0"/>
        <v>0</v>
      </c>
    </row>
    <row r="11" spans="1:8" ht="15">
      <c r="A11" s="29">
        <v>5</v>
      </c>
      <c r="B11" s="36" t="s">
        <v>37</v>
      </c>
      <c r="C11" s="6"/>
      <c r="D11" s="6">
        <f>15156</f>
        <v>15156</v>
      </c>
      <c r="E11" s="38">
        <f>14638</f>
        <v>14638</v>
      </c>
      <c r="F11" s="38">
        <f>540</f>
        <v>540</v>
      </c>
      <c r="G11" s="38">
        <f>D11-E11-F11-0.0006</f>
        <v>-22.0006</v>
      </c>
      <c r="H11" s="5">
        <f t="shared" si="0"/>
        <v>-0.0026575362653211846</v>
      </c>
    </row>
    <row r="12" spans="1:8" ht="15">
      <c r="A12" s="30"/>
      <c r="B12" s="36" t="s">
        <v>38</v>
      </c>
      <c r="C12" s="6"/>
      <c r="D12" s="6">
        <f>12295</f>
        <v>12295</v>
      </c>
      <c r="E12" s="38">
        <f>5637</f>
        <v>5637</v>
      </c>
      <c r="F12" s="38">
        <v>0</v>
      </c>
      <c r="G12" s="38">
        <f>D12-E12-F12-0.0004</f>
        <v>6657.9996</v>
      </c>
      <c r="H12" s="5">
        <f t="shared" si="0"/>
        <v>0.804245129291653</v>
      </c>
    </row>
    <row r="13" spans="1:8" ht="15">
      <c r="A13" s="31"/>
      <c r="B13" s="22" t="s">
        <v>14</v>
      </c>
      <c r="C13" s="22"/>
      <c r="D13" s="4">
        <f>SUM(D11:D12)</f>
        <v>27451</v>
      </c>
      <c r="E13" s="39">
        <f>SUM(E11:E12)</f>
        <v>20275</v>
      </c>
      <c r="F13" s="39">
        <f>SUM(F11:F12)</f>
        <v>540</v>
      </c>
      <c r="G13" s="39">
        <f>SUM(G11:G12)</f>
        <v>6635.999</v>
      </c>
      <c r="H13" s="5">
        <f t="shared" si="0"/>
        <v>0.8015875930263319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8"/>
  <sheetViews>
    <sheetView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5" sqref="B5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6.7109375" style="0" customWidth="1"/>
    <col min="6" max="6" width="15.421875" style="0" customWidth="1"/>
    <col min="7" max="7" width="12.140625" style="0" customWidth="1"/>
    <col min="8" max="8" width="11.57421875" style="0" customWidth="1"/>
    <col min="9" max="9" width="9.57421875" style="0" bestFit="1" customWidth="1"/>
  </cols>
  <sheetData>
    <row r="3" spans="2:3" ht="15.75">
      <c r="B3" s="14" t="s">
        <v>47</v>
      </c>
      <c r="C3" s="14"/>
    </row>
    <row r="4" spans="1:8" ht="15">
      <c r="A4" s="32" t="s">
        <v>8</v>
      </c>
      <c r="B4" s="32"/>
      <c r="C4" s="32"/>
      <c r="D4" s="32"/>
      <c r="E4" s="32"/>
      <c r="F4" s="32"/>
      <c r="G4" s="32"/>
      <c r="H4" s="32"/>
    </row>
    <row r="5" spans="1:8" ht="90" customHeight="1">
      <c r="A5" s="16" t="s">
        <v>0</v>
      </c>
      <c r="B5" s="34" t="s">
        <v>1</v>
      </c>
      <c r="C5" s="16" t="s">
        <v>2</v>
      </c>
      <c r="D5" s="16" t="s">
        <v>11</v>
      </c>
      <c r="E5" s="16" t="s">
        <v>3</v>
      </c>
      <c r="F5" s="16" t="s">
        <v>4</v>
      </c>
      <c r="G5" s="16" t="s">
        <v>5</v>
      </c>
      <c r="H5" s="34" t="s">
        <v>6</v>
      </c>
    </row>
    <row r="6" spans="1:8" ht="21.75" customHeight="1">
      <c r="A6" s="26"/>
      <c r="B6" s="28"/>
      <c r="C6" s="26"/>
      <c r="D6" s="26"/>
      <c r="E6" s="26"/>
      <c r="F6" s="26"/>
      <c r="G6" s="26"/>
      <c r="H6" s="28"/>
    </row>
    <row r="7" spans="1:10" ht="15">
      <c r="A7" s="17">
        <v>1</v>
      </c>
      <c r="B7" s="18" t="s">
        <v>22</v>
      </c>
      <c r="C7" s="17"/>
      <c r="D7" s="21">
        <f>21.07+49.57</f>
        <v>70.64</v>
      </c>
      <c r="E7" s="21">
        <f>E8*0.0478+0.0532</f>
        <v>30.747970000000006</v>
      </c>
      <c r="F7" s="37">
        <f>F8*0.0478</f>
        <v>3.9984700000000006</v>
      </c>
      <c r="G7" s="38">
        <f>G8*0.0478-0.0005</f>
        <v>1.1902219</v>
      </c>
      <c r="H7" s="5">
        <f>G7/8279.07</f>
        <v>0.0001437627535459901</v>
      </c>
      <c r="J7" s="11"/>
    </row>
    <row r="8" spans="1:10" ht="15">
      <c r="A8" s="2">
        <v>2</v>
      </c>
      <c r="B8" s="3" t="s">
        <v>9</v>
      </c>
      <c r="C8" s="5"/>
      <c r="D8" s="21">
        <f>362.6+706.76</f>
        <v>1069.3600000000001</v>
      </c>
      <c r="E8" s="39">
        <f>394.42-65.6+296.8+16.53</f>
        <v>642.1500000000001</v>
      </c>
      <c r="F8" s="39">
        <f>83.65</f>
        <v>83.65</v>
      </c>
      <c r="G8" s="38">
        <f>24.9084+0.0021</f>
        <v>24.9105</v>
      </c>
      <c r="H8" s="5">
        <f aca="true" t="shared" si="0" ref="H8:H13">G8/8279.07</f>
        <v>0.0030088524435715604</v>
      </c>
      <c r="J8" s="11"/>
    </row>
    <row r="9" spans="1:10" ht="15">
      <c r="A9" s="2">
        <v>3</v>
      </c>
      <c r="B9" s="3" t="s">
        <v>19</v>
      </c>
      <c r="C9" s="24" t="s">
        <v>48</v>
      </c>
      <c r="D9" s="4">
        <f>7857.375-6783.144</f>
        <v>1074.2309999999998</v>
      </c>
      <c r="E9" s="39">
        <f>384.12-64.02+322.49+19.78+0.001</f>
        <v>662.371</v>
      </c>
      <c r="F9" s="39">
        <f>53</f>
        <v>53</v>
      </c>
      <c r="G9" s="38">
        <f>24.9084+0.0021</f>
        <v>24.9105</v>
      </c>
      <c r="H9" s="40">
        <f t="shared" si="0"/>
        <v>0.0030088524435715604</v>
      </c>
      <c r="J9" s="11"/>
    </row>
    <row r="10" spans="1:8" ht="15">
      <c r="A10" s="2">
        <v>4</v>
      </c>
      <c r="B10" s="3" t="s">
        <v>10</v>
      </c>
      <c r="C10" s="6"/>
      <c r="D10" s="4">
        <f>D8+D9</f>
        <v>2143.591</v>
      </c>
      <c r="E10" s="39">
        <f>575.9+654.33+30.78+32.93+0.43+8.86+1.29</f>
        <v>1304.52</v>
      </c>
      <c r="F10" s="39">
        <f>F8+F9</f>
        <v>136.65</v>
      </c>
      <c r="G10" s="38">
        <v>0</v>
      </c>
      <c r="H10" s="5">
        <f t="shared" si="0"/>
        <v>0</v>
      </c>
    </row>
    <row r="11" spans="1:8" ht="15">
      <c r="A11" s="29">
        <v>5</v>
      </c>
      <c r="B11" s="36" t="s">
        <v>37</v>
      </c>
      <c r="C11" s="6"/>
      <c r="D11" s="6">
        <f>15450</f>
        <v>15450</v>
      </c>
      <c r="E11" s="38">
        <f>14572</f>
        <v>14572</v>
      </c>
      <c r="F11" s="38">
        <f>435</f>
        <v>435</v>
      </c>
      <c r="G11" s="38">
        <f>D11-E11-F11</f>
        <v>443</v>
      </c>
      <c r="H11" s="5">
        <f t="shared" si="0"/>
        <v>0.053508425463246474</v>
      </c>
    </row>
    <row r="12" spans="1:8" ht="15">
      <c r="A12" s="30"/>
      <c r="B12" s="36" t="s">
        <v>38</v>
      </c>
      <c r="C12" s="6"/>
      <c r="D12" s="6">
        <f>10927</f>
        <v>10927</v>
      </c>
      <c r="E12" s="38">
        <f>4508</f>
        <v>4508</v>
      </c>
      <c r="F12" s="38">
        <v>0</v>
      </c>
      <c r="G12" s="38">
        <f>D12-E12-F12-0.0003</f>
        <v>6418.9997</v>
      </c>
      <c r="H12" s="5">
        <f t="shared" si="0"/>
        <v>0.7753285936705452</v>
      </c>
    </row>
    <row r="13" spans="1:8" ht="15">
      <c r="A13" s="31"/>
      <c r="B13" s="22" t="s">
        <v>14</v>
      </c>
      <c r="C13" s="22"/>
      <c r="D13" s="4">
        <f>SUM(D11:D12)</f>
        <v>26377</v>
      </c>
      <c r="E13" s="39">
        <f>SUM(E11:E12)</f>
        <v>19080</v>
      </c>
      <c r="F13" s="39">
        <f>SUM(F11:F12)</f>
        <v>435</v>
      </c>
      <c r="G13" s="39">
        <f>SUM(G11:G12)</f>
        <v>6861.9997</v>
      </c>
      <c r="H13" s="5">
        <f t="shared" si="0"/>
        <v>0.8288370191337917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18"/>
  <sheetViews>
    <sheetView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22" sqref="E22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9.8515625" style="0" customWidth="1"/>
    <col min="4" max="5" width="16.7109375" style="0" customWidth="1"/>
    <col min="6" max="6" width="15.421875" style="0" customWidth="1"/>
    <col min="7" max="7" width="12.140625" style="0" customWidth="1"/>
    <col min="8" max="8" width="11.57421875" style="0" customWidth="1"/>
    <col min="9" max="9" width="9.57421875" style="0" bestFit="1" customWidth="1"/>
  </cols>
  <sheetData>
    <row r="3" spans="2:3" ht="15.75">
      <c r="B3" s="14" t="s">
        <v>49</v>
      </c>
      <c r="C3" s="14"/>
    </row>
    <row r="4" spans="1:8" ht="15">
      <c r="A4" s="32" t="s">
        <v>8</v>
      </c>
      <c r="B4" s="32"/>
      <c r="C4" s="32"/>
      <c r="D4" s="32"/>
      <c r="E4" s="32"/>
      <c r="F4" s="32"/>
      <c r="G4" s="32"/>
      <c r="H4" s="32"/>
    </row>
    <row r="5" spans="1:8" ht="90" customHeight="1">
      <c r="A5" s="16" t="s">
        <v>0</v>
      </c>
      <c r="B5" s="34" t="s">
        <v>1</v>
      </c>
      <c r="C5" s="16" t="s">
        <v>2</v>
      </c>
      <c r="D5" s="16" t="s">
        <v>11</v>
      </c>
      <c r="E5" s="16" t="s">
        <v>3</v>
      </c>
      <c r="F5" s="16" t="s">
        <v>4</v>
      </c>
      <c r="G5" s="16" t="s">
        <v>5</v>
      </c>
      <c r="H5" s="34" t="s">
        <v>6</v>
      </c>
    </row>
    <row r="6" spans="1:8" ht="21.75" customHeight="1">
      <c r="A6" s="26"/>
      <c r="B6" s="28"/>
      <c r="C6" s="26"/>
      <c r="D6" s="26"/>
      <c r="E6" s="26"/>
      <c r="F6" s="26"/>
      <c r="G6" s="26"/>
      <c r="H6" s="28"/>
    </row>
    <row r="7" spans="1:10" ht="15">
      <c r="A7" s="17">
        <v>1</v>
      </c>
      <c r="B7" s="18" t="s">
        <v>22</v>
      </c>
      <c r="C7" s="17"/>
      <c r="D7" s="21">
        <f>56.94</f>
        <v>56.94</v>
      </c>
      <c r="E7" s="21">
        <f>E8*0.0478+0.0017</f>
        <v>36.3803052386</v>
      </c>
      <c r="F7" s="37">
        <f>5.13</f>
        <v>5.13</v>
      </c>
      <c r="G7" s="38">
        <f>G8*0.0478-0.0005</f>
        <v>1.1902219</v>
      </c>
      <c r="H7" s="5">
        <f aca="true" t="shared" si="0" ref="H7:H13">G7/8279.07</f>
        <v>0.0001437627535459901</v>
      </c>
      <c r="J7" s="11"/>
    </row>
    <row r="8" spans="1:10" ht="15">
      <c r="A8" s="2">
        <v>2</v>
      </c>
      <c r="B8" s="3" t="s">
        <v>9</v>
      </c>
      <c r="C8" s="5"/>
      <c r="D8" s="21">
        <f>874</f>
        <v>874</v>
      </c>
      <c r="E8" s="39">
        <f>341.8203-56.851613+409.6+66.49</f>
        <v>761.058687</v>
      </c>
      <c r="F8" s="39">
        <f>67.57</f>
        <v>67.57</v>
      </c>
      <c r="G8" s="38">
        <f>24.9084+0.0021</f>
        <v>24.9105</v>
      </c>
      <c r="H8" s="5">
        <f t="shared" si="0"/>
        <v>0.0030088524435715604</v>
      </c>
      <c r="J8" s="11"/>
    </row>
    <row r="9" spans="1:10" ht="15">
      <c r="A9" s="2">
        <v>3</v>
      </c>
      <c r="B9" s="3" t="s">
        <v>19</v>
      </c>
      <c r="C9" s="24" t="s">
        <v>50</v>
      </c>
      <c r="D9" s="4">
        <f>8681.892-7871.917</f>
        <v>809.9749999999995</v>
      </c>
      <c r="E9" s="39">
        <f>349.5755-58.26258+452.08+21.43+0.0055</f>
        <v>764.8284199999999</v>
      </c>
      <c r="F9" s="39">
        <f>52</f>
        <v>52</v>
      </c>
      <c r="G9" s="38">
        <v>-6.7018</v>
      </c>
      <c r="H9" s="40">
        <f t="shared" si="0"/>
        <v>-0.0008094870559132851</v>
      </c>
      <c r="J9" s="11"/>
    </row>
    <row r="10" spans="1:8" ht="15">
      <c r="A10" s="2">
        <v>4</v>
      </c>
      <c r="B10" s="3" t="s">
        <v>10</v>
      </c>
      <c r="C10" s="6"/>
      <c r="D10" s="4">
        <f>D8+D9</f>
        <v>1683.9749999999995</v>
      </c>
      <c r="E10" s="39">
        <f>531.487+838.42+73.3+71.71+1.66+8.86+0.4435</f>
        <v>1525.8805</v>
      </c>
      <c r="F10" s="39">
        <f>F8+F9</f>
        <v>119.57</v>
      </c>
      <c r="G10" s="38">
        <v>0</v>
      </c>
      <c r="H10" s="5">
        <f t="shared" si="0"/>
        <v>0</v>
      </c>
    </row>
    <row r="11" spans="1:8" ht="15">
      <c r="A11" s="29">
        <v>5</v>
      </c>
      <c r="B11" s="36" t="s">
        <v>37</v>
      </c>
      <c r="C11" s="6"/>
      <c r="D11" s="6">
        <f>17400</f>
        <v>17400</v>
      </c>
      <c r="E11" s="38">
        <f>17798</f>
        <v>17798</v>
      </c>
      <c r="F11" s="38">
        <f>635</f>
        <v>635</v>
      </c>
      <c r="G11" s="38">
        <f>D11-E11-F11-0.0002</f>
        <v>-1033.0002</v>
      </c>
      <c r="H11" s="5">
        <f t="shared" si="0"/>
        <v>-0.12477249256257043</v>
      </c>
    </row>
    <row r="12" spans="1:8" ht="15">
      <c r="A12" s="30"/>
      <c r="B12" s="36" t="s">
        <v>38</v>
      </c>
      <c r="C12" s="6"/>
      <c r="D12" s="6">
        <f>12398</f>
        <v>12398</v>
      </c>
      <c r="E12" s="38">
        <f>5783</f>
        <v>5783</v>
      </c>
      <c r="F12" s="38">
        <v>0</v>
      </c>
      <c r="G12" s="38">
        <f>D12-E12-F12-0.0009</f>
        <v>6614.9991</v>
      </c>
      <c r="H12" s="5">
        <f t="shared" si="0"/>
        <v>0.7990026778370034</v>
      </c>
    </row>
    <row r="13" spans="1:8" ht="15">
      <c r="A13" s="31"/>
      <c r="B13" s="22" t="s">
        <v>14</v>
      </c>
      <c r="C13" s="22"/>
      <c r="D13" s="4">
        <f>SUM(D11:D12)</f>
        <v>29798</v>
      </c>
      <c r="E13" s="39">
        <f>SUM(E11:E12)</f>
        <v>23581</v>
      </c>
      <c r="F13" s="39">
        <f>SUM(F11:F12)</f>
        <v>635</v>
      </c>
      <c r="G13" s="39">
        <f>SUM(G11:G12)</f>
        <v>5581.9989000000005</v>
      </c>
      <c r="H13" s="5">
        <f t="shared" si="0"/>
        <v>0.6742301852744331</v>
      </c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2012-11-26T04:02:36Z</cp:lastPrinted>
  <dcterms:created xsi:type="dcterms:W3CDTF">2006-09-16T00:00:00Z</dcterms:created>
  <dcterms:modified xsi:type="dcterms:W3CDTF">2016-02-01T10:29:31Z</dcterms:modified>
  <cp:category/>
  <cp:version/>
  <cp:contentType/>
  <cp:contentStatus/>
</cp:coreProperties>
</file>