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7" activeTab="11"/>
  </bookViews>
  <sheets>
    <sheet name="41 (январь)" sheetId="1" r:id="rId1"/>
    <sheet name="41 (февраль)" sheetId="2" r:id="rId2"/>
    <sheet name="41 (март)" sheetId="3" r:id="rId3"/>
    <sheet name="41 (апрель)" sheetId="4" r:id="rId4"/>
    <sheet name="41 (май)" sheetId="5" r:id="rId5"/>
    <sheet name="41 (июнь)" sheetId="6" r:id="rId6"/>
    <sheet name="41 (июль)" sheetId="7" r:id="rId7"/>
    <sheet name="41 (август)" sheetId="8" r:id="rId8"/>
    <sheet name="41 (сентябрь)" sheetId="9" r:id="rId9"/>
    <sheet name="41 (октябрь)" sheetId="10" r:id="rId10"/>
    <sheet name="41 (ноябрь)" sheetId="11" r:id="rId11"/>
    <sheet name="41 (декабрь)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b/>
            <sz val="8"/>
            <rFont val="Tahoma"/>
            <family val="0"/>
          </rPr>
          <t>убрано дворовое освещение 43 и45 дом =460,198 квт/ч</t>
        </r>
      </text>
    </comment>
    <comment ref="D12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убрано дворовое освещение 43 и45 дома= 932,799  квт/ч
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b/>
            <sz val="8"/>
            <rFont val="Tahoma"/>
            <family val="2"/>
          </rPr>
          <t>убрано дворовое освещение 43 и45 дом =-125,283
 квт/ч</t>
        </r>
      </text>
    </comment>
    <comment ref="D12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убрано дворовое освещение 43 и45 дома= 0 квт/ч
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b/>
            <sz val="8"/>
            <rFont val="Tahoma"/>
            <family val="2"/>
          </rPr>
          <t>убрано дворовое освещение 43 и45 дом =-303,284
 квт/ч</t>
        </r>
      </text>
    </comment>
    <comment ref="D12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убрано дворовое освещение 43 и45 дома= 0 квт/ч
</t>
        </r>
      </text>
    </comment>
  </commentList>
</comments>
</file>

<file path=xl/comments12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b/>
            <sz val="8"/>
            <rFont val="Tahoma"/>
            <family val="2"/>
          </rPr>
          <t>убрано дворовое освещение 43 и45 дом =-314,448 квт/ч
 квт/ч</t>
        </r>
      </text>
    </comment>
    <comment ref="D12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убрано дворовое освещение 43 и45 дома= 0 квт/ч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b/>
            <sz val="8"/>
            <rFont val="Tahoma"/>
            <family val="0"/>
          </rPr>
          <t>убрано дворовое освещение 43 и45 дом =347,939 квт/ч</t>
        </r>
      </text>
    </comment>
    <comment ref="D12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убрано дворовое освещение 43 и45 дома= 653,084  квт/ч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b/>
            <sz val="8"/>
            <rFont val="Tahoma"/>
            <family val="0"/>
          </rPr>
          <t>убрано дворовое освещение 43 и45 дом =212,113 квт/ч</t>
        </r>
      </text>
    </comment>
    <comment ref="D12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убрано дворовое освещение 43 и45 дома= 649,983  квт/ч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b/>
            <sz val="8"/>
            <rFont val="Tahoma"/>
            <family val="0"/>
          </rPr>
          <t>убрано дворовое освещение 43 и45 дом =158,774 квт/ч</t>
        </r>
      </text>
    </comment>
    <comment ref="D12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убрано дворовое освещение 43 и45 дома= 667,348  квт/ч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b/>
            <sz val="8"/>
            <rFont val="Tahoma"/>
            <family val="0"/>
          </rPr>
          <t>убрано дворовое освещение 43 и45 дом =42,795 квт/ч</t>
        </r>
      </text>
    </comment>
    <comment ref="D12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убрано дворовое освещение 43 и45 дома= 497,410  квт/ч
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b/>
            <sz val="8"/>
            <rFont val="Tahoma"/>
            <family val="0"/>
          </rPr>
          <t>убрано дворовое освещение 43 и45 дом =12,404 квт/ч</t>
        </r>
      </text>
    </comment>
    <comment ref="D12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убрано дворовое освещение 43 и45 дома= 439,73 квт/ч
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b/>
            <sz val="8"/>
            <rFont val="Tahoma"/>
            <family val="0"/>
          </rPr>
          <t>убрано дворовое освещение 43 и45 дом =17,366 квт/ч</t>
        </r>
      </text>
    </comment>
    <comment ref="D12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убрано дворовое освещение 43 и45 дома= 462,058 квт/ч
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b/>
            <sz val="8"/>
            <rFont val="Tahoma"/>
            <family val="0"/>
          </rPr>
          <t>убрано дворовое освещение 43 и45 дом =44,035 квт/ч</t>
        </r>
      </text>
    </comment>
    <comment ref="D12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убрано дворовое освещение 43 и45 дома= 0 квт/ч
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b/>
            <sz val="8"/>
            <rFont val="Tahoma"/>
            <family val="0"/>
          </rPr>
          <t>убрано дворовое освещение 43 и45 дом =-125,283
 квт/ч</t>
        </r>
      </text>
    </comment>
    <comment ref="D12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убрано дворовое освещение 43 и45 дома= 0 квт/ч
</t>
        </r>
      </text>
    </comment>
  </commentList>
</comments>
</file>

<file path=xl/sharedStrings.xml><?xml version="1.0" encoding="utf-8"?>
<sst xmlns="http://schemas.openxmlformats.org/spreadsheetml/2006/main" count="216" uniqueCount="40">
  <si>
    <t xml:space="preserve"> </t>
  </si>
  <si>
    <t>Услуга</t>
  </si>
  <si>
    <t xml:space="preserve">показания общедомового прибора учета </t>
  </si>
  <si>
    <t>итого к предъявлению ОДН</t>
  </si>
  <si>
    <t>на 1 кв.м</t>
  </si>
  <si>
    <t>Ухтомская 41</t>
  </si>
  <si>
    <t>ГВС (тонн)</t>
  </si>
  <si>
    <t>водоотведение(тонн)</t>
  </si>
  <si>
    <t>итого по эл.эн.</t>
  </si>
  <si>
    <t xml:space="preserve">объем потребления </t>
  </si>
  <si>
    <t xml:space="preserve">начисление по индивидуальным приборам учета и нормативу </t>
  </si>
  <si>
    <t xml:space="preserve">начисление сторонним потребителям </t>
  </si>
  <si>
    <t>ХВС (тонн)</t>
  </si>
  <si>
    <t>нагрев воды (Г.кал.)</t>
  </si>
  <si>
    <t>Общий объем эл.эн.день</t>
  </si>
  <si>
    <t>Общий объем эл.эн.ночь</t>
  </si>
  <si>
    <t>Объем коммунальных услуг по показаниям общедомовых приборов учета (ОДН) за январь в феврале 2016г.</t>
  </si>
  <si>
    <t>42666,/43433</t>
  </si>
  <si>
    <t>Объем коммунальных услуг по показаниям общедомовых приборов учета (ОДН) за февраль в марте 2016г.</t>
  </si>
  <si>
    <t>43433,/44225</t>
  </si>
  <si>
    <t>Объем коммунальных услуг по показаниям общедомовых приборов учета (ОДН) за март в апреле 2016г.</t>
  </si>
  <si>
    <t>44225,/45217</t>
  </si>
  <si>
    <t>Объем коммунальных услуг по показаниям общедомовых приборов учета (ОДН) за апрель в мае 2016г.</t>
  </si>
  <si>
    <t>45217,/46034</t>
  </si>
  <si>
    <t>Объем коммунальных услуг по показаниям общедомовых приборов учета (ОДН) за май в июне 2016г.</t>
  </si>
  <si>
    <t>46034,/47003</t>
  </si>
  <si>
    <t>Объем коммунальных услуг по показаниям общедомовых приборов учета (ОДН) за июнь в июле 2016г.</t>
  </si>
  <si>
    <t>47003,/47715</t>
  </si>
  <si>
    <t>Объем коммунальных услуг по показаниям общедомовых приборов учета (ОДН) за июль в августе 2016г.</t>
  </si>
  <si>
    <t>47715,/48338</t>
  </si>
  <si>
    <t>Объем коммунальных услуг по показаниям общедомовых приборов учета (ОДН) за август в сентябре 2016г.</t>
  </si>
  <si>
    <t>48338,/49268</t>
  </si>
  <si>
    <t>Объем коммунальных услуг по показаниям общедомовых приборов учета (ОДН) за сентябрь в октябре 2016г.</t>
  </si>
  <si>
    <t>49268,/50069</t>
  </si>
  <si>
    <t>Объем коммунальных услуг по показаниям общедомовых приборов учета (ОДН) за октябрь в ноябре 2016г.</t>
  </si>
  <si>
    <t>50069 /50858</t>
  </si>
  <si>
    <t>Объем коммунальных услуг по показаниям общедомовых приборов учета (ОДН) за ноябрь в декабре 2016г.</t>
  </si>
  <si>
    <t>50858,/51697</t>
  </si>
  <si>
    <t>Объем коммунальных услуг по показаниям общедомовых приборов учета (ОДН) за декабрь в январе 2017г.</t>
  </si>
  <si>
    <t>51697,/52348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</si>
</sst>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0.0000"/>
    <numFmt numFmtId="176" formatCode="#,##0.0000"/>
    <numFmt numFmtId="177" formatCode="#,##0.000"/>
  </numFmts>
  <fonts count="23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 wrapText="1"/>
    </xf>
    <xf numFmtId="175" fontId="0" fillId="0" borderId="10" xfId="0" applyNumberFormat="1" applyBorder="1" applyAlignment="1">
      <alignment horizontal="center" vertical="center"/>
    </xf>
    <xf numFmtId="2" fontId="0" fillId="24" borderId="11" xfId="0" applyNumberFormat="1" applyFont="1" applyFill="1" applyBorder="1" applyAlignment="1">
      <alignment horizontal="center" vertical="center" wrapText="1"/>
    </xf>
    <xf numFmtId="2" fontId="0" fillId="24" borderId="10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5"/>
  <sheetViews>
    <sheetView zoomScalePageLayoutView="0"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G12" sqref="G12"/>
    </sheetView>
  </sheetViews>
  <sheetFormatPr defaultColWidth="9.140625" defaultRowHeight="15"/>
  <cols>
    <col min="1" max="1" width="4.7109375" style="0" customWidth="1"/>
    <col min="2" max="2" width="24.00390625" style="0" customWidth="1"/>
    <col min="3" max="3" width="18.8515625" style="0" customWidth="1"/>
    <col min="4" max="4" width="15.28125" style="0" customWidth="1"/>
    <col min="5" max="5" width="17.00390625" style="0" customWidth="1"/>
    <col min="6" max="6" width="15.7109375" style="0" customWidth="1"/>
    <col min="7" max="7" width="12.7109375" style="0" customWidth="1"/>
    <col min="8" max="8" width="12.00390625" style="0" customWidth="1"/>
    <col min="9" max="9" width="9.57421875" style="0" bestFit="1" customWidth="1"/>
  </cols>
  <sheetData>
    <row r="3" spans="2:3" ht="15.75">
      <c r="B3" s="9" t="s">
        <v>16</v>
      </c>
      <c r="C3" s="9"/>
    </row>
    <row r="4" spans="1:8" ht="15">
      <c r="A4" s="27" t="s">
        <v>5</v>
      </c>
      <c r="B4" s="27"/>
      <c r="C4" s="27"/>
      <c r="D4" s="27"/>
      <c r="E4" s="27"/>
      <c r="F4" s="27"/>
      <c r="G4" s="27"/>
      <c r="H4" s="27"/>
    </row>
    <row r="5" spans="1:8" ht="70.5" customHeight="1">
      <c r="A5" s="28" t="s">
        <v>0</v>
      </c>
      <c r="B5" s="25" t="s">
        <v>1</v>
      </c>
      <c r="C5" s="28" t="s">
        <v>2</v>
      </c>
      <c r="D5" s="28" t="s">
        <v>9</v>
      </c>
      <c r="E5" s="28" t="s">
        <v>10</v>
      </c>
      <c r="F5" s="28" t="s">
        <v>11</v>
      </c>
      <c r="G5" s="28" t="s">
        <v>3</v>
      </c>
      <c r="H5" s="25" t="s">
        <v>4</v>
      </c>
    </row>
    <row r="6" spans="1:8" ht="33.75" customHeight="1">
      <c r="A6" s="29"/>
      <c r="B6" s="26"/>
      <c r="C6" s="29"/>
      <c r="D6" s="29"/>
      <c r="E6" s="29"/>
      <c r="F6" s="29"/>
      <c r="G6" s="29"/>
      <c r="H6" s="26"/>
    </row>
    <row r="7" spans="1:10" ht="15.75">
      <c r="A7" s="11">
        <v>1</v>
      </c>
      <c r="B7" s="12" t="s">
        <v>13</v>
      </c>
      <c r="C7" s="10"/>
      <c r="D7" s="16">
        <f>46.99</f>
        <v>46.99</v>
      </c>
      <c r="E7" s="16">
        <f>E8*0.0478+0.0009</f>
        <v>44.29811600000001</v>
      </c>
      <c r="F7" s="16">
        <v>0</v>
      </c>
      <c r="G7" s="17">
        <f>22.2916*0.0478+0.0002</f>
        <v>1.06573848</v>
      </c>
      <c r="H7" s="6">
        <f aca="true" t="shared" si="0" ref="H7:H13">G7/6860.6</f>
        <v>0.0001553418768037781</v>
      </c>
      <c r="J7" s="7"/>
    </row>
    <row r="8" spans="1:10" ht="15">
      <c r="A8" s="3">
        <v>2</v>
      </c>
      <c r="B8" s="4" t="s">
        <v>6</v>
      </c>
      <c r="C8" s="6"/>
      <c r="D8" s="6">
        <f>763.4</f>
        <v>763.4</v>
      </c>
      <c r="E8" s="17">
        <f>905.95+20.77</f>
        <v>926.72</v>
      </c>
      <c r="F8" s="17">
        <v>0</v>
      </c>
      <c r="G8" s="17">
        <f>D8-E8-F8+13.5698</f>
        <v>-149.75020000000006</v>
      </c>
      <c r="H8" s="6">
        <f t="shared" si="0"/>
        <v>-0.021827566102090204</v>
      </c>
      <c r="J8" s="7"/>
    </row>
    <row r="9" spans="1:10" ht="15">
      <c r="A9" s="3">
        <v>3</v>
      </c>
      <c r="B9" s="4" t="s">
        <v>12</v>
      </c>
      <c r="C9" s="5" t="s">
        <v>17</v>
      </c>
      <c r="D9" s="5">
        <f>43433-42666</f>
        <v>767</v>
      </c>
      <c r="E9" s="17">
        <f>626.48+18.54</f>
        <v>645.02</v>
      </c>
      <c r="F9" s="17">
        <f>11</f>
        <v>11</v>
      </c>
      <c r="G9" s="17">
        <f>22.2916-0.0002</f>
        <v>22.2914</v>
      </c>
      <c r="H9" s="6">
        <f t="shared" si="0"/>
        <v>0.003249191032854269</v>
      </c>
      <c r="J9" s="7"/>
    </row>
    <row r="10" spans="1:10" ht="15">
      <c r="A10" s="3">
        <v>4</v>
      </c>
      <c r="B10" s="4" t="s">
        <v>7</v>
      </c>
      <c r="C10" s="5"/>
      <c r="D10" s="5">
        <f>D8+D9</f>
        <v>1530.4</v>
      </c>
      <c r="E10" s="17">
        <f>1435.01+136.73</f>
        <v>1571.74</v>
      </c>
      <c r="F10" s="17">
        <f>F8+F9</f>
        <v>11</v>
      </c>
      <c r="G10" s="17">
        <v>0</v>
      </c>
      <c r="H10" s="6">
        <f t="shared" si="0"/>
        <v>0</v>
      </c>
      <c r="I10" s="8"/>
      <c r="J10" s="7"/>
    </row>
    <row r="11" spans="1:10" ht="15">
      <c r="A11" s="23">
        <v>5</v>
      </c>
      <c r="B11" s="4" t="s">
        <v>14</v>
      </c>
      <c r="C11" s="5"/>
      <c r="D11" s="6">
        <f>19053-460.198</f>
        <v>18592.802</v>
      </c>
      <c r="E11" s="17">
        <f>13870</f>
        <v>13870</v>
      </c>
      <c r="F11" s="17">
        <v>0</v>
      </c>
      <c r="G11" s="17">
        <f>D11-E11-F11</f>
        <v>4722.802</v>
      </c>
      <c r="H11" s="6">
        <f t="shared" si="0"/>
        <v>0.6883948925749933</v>
      </c>
      <c r="I11" s="8"/>
      <c r="J11" s="7"/>
    </row>
    <row r="12" spans="1:10" ht="15">
      <c r="A12" s="24"/>
      <c r="B12" s="4" t="s">
        <v>15</v>
      </c>
      <c r="C12" s="5"/>
      <c r="D12" s="6">
        <f>26960-932.799</f>
        <v>26027.201</v>
      </c>
      <c r="E12" s="17">
        <f>14093</f>
        <v>14093</v>
      </c>
      <c r="F12" s="17">
        <v>0</v>
      </c>
      <c r="G12" s="17">
        <f>123.2+0.0017</f>
        <v>123.2017</v>
      </c>
      <c r="H12" s="6">
        <f t="shared" si="0"/>
        <v>0.017957860828498963</v>
      </c>
      <c r="I12" s="8"/>
      <c r="J12" s="7"/>
    </row>
    <row r="13" spans="1:10" ht="15">
      <c r="A13" s="24"/>
      <c r="B13" s="15" t="s">
        <v>8</v>
      </c>
      <c r="C13" s="13"/>
      <c r="D13" s="14">
        <f>SUM(D11:D12)</f>
        <v>44620.003</v>
      </c>
      <c r="E13" s="14">
        <f>SUM(E11:E12)</f>
        <v>27963</v>
      </c>
      <c r="F13" s="14">
        <f>F11+F12</f>
        <v>0</v>
      </c>
      <c r="G13" s="14">
        <f>SUM(G11:G12)</f>
        <v>4846.003699999999</v>
      </c>
      <c r="H13" s="6">
        <f t="shared" si="0"/>
        <v>0.7063527534034922</v>
      </c>
      <c r="I13" s="8"/>
      <c r="J13" s="7"/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3:J35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D10" sqref="D10"/>
    </sheetView>
  </sheetViews>
  <sheetFormatPr defaultColWidth="9.140625" defaultRowHeight="15"/>
  <cols>
    <col min="1" max="1" width="4.7109375" style="0" customWidth="1"/>
    <col min="2" max="2" width="24.00390625" style="0" customWidth="1"/>
    <col min="3" max="3" width="18.8515625" style="0" customWidth="1"/>
    <col min="4" max="4" width="15.28125" style="0" customWidth="1"/>
    <col min="5" max="5" width="17.00390625" style="0" customWidth="1"/>
    <col min="6" max="6" width="15.7109375" style="0" customWidth="1"/>
    <col min="7" max="7" width="12.7109375" style="0" customWidth="1"/>
    <col min="8" max="8" width="12.00390625" style="0" customWidth="1"/>
    <col min="9" max="9" width="9.57421875" style="0" bestFit="1" customWidth="1"/>
  </cols>
  <sheetData>
    <row r="3" spans="2:3" ht="15.75">
      <c r="B3" s="9" t="s">
        <v>34</v>
      </c>
      <c r="C3" s="9"/>
    </row>
    <row r="4" spans="1:8" ht="15">
      <c r="A4" s="27" t="s">
        <v>5</v>
      </c>
      <c r="B4" s="27"/>
      <c r="C4" s="27"/>
      <c r="D4" s="27"/>
      <c r="E4" s="27"/>
      <c r="F4" s="27"/>
      <c r="G4" s="27"/>
      <c r="H4" s="27"/>
    </row>
    <row r="5" spans="1:8" ht="70.5" customHeight="1">
      <c r="A5" s="28" t="s">
        <v>0</v>
      </c>
      <c r="B5" s="25" t="s">
        <v>1</v>
      </c>
      <c r="C5" s="28" t="s">
        <v>2</v>
      </c>
      <c r="D5" s="28" t="s">
        <v>9</v>
      </c>
      <c r="E5" s="28" t="s">
        <v>10</v>
      </c>
      <c r="F5" s="28" t="s">
        <v>11</v>
      </c>
      <c r="G5" s="28" t="s">
        <v>3</v>
      </c>
      <c r="H5" s="25" t="s">
        <v>4</v>
      </c>
    </row>
    <row r="6" spans="1:8" ht="33.75" customHeight="1">
      <c r="A6" s="29"/>
      <c r="B6" s="26"/>
      <c r="C6" s="29"/>
      <c r="D6" s="29"/>
      <c r="E6" s="29"/>
      <c r="F6" s="29"/>
      <c r="G6" s="29"/>
      <c r="H6" s="26"/>
    </row>
    <row r="7" spans="1:10" ht="15.75">
      <c r="A7" s="11">
        <v>1</v>
      </c>
      <c r="B7" s="12" t="s">
        <v>13</v>
      </c>
      <c r="C7" s="10"/>
      <c r="D7" s="16">
        <v>43.05</v>
      </c>
      <c r="E7" s="20">
        <f>1.5224+46.9237-0.43496+0.0014</f>
        <v>48.012539999999994</v>
      </c>
      <c r="F7" s="16">
        <v>0</v>
      </c>
      <c r="G7" s="17">
        <f>D7-E7-F7+0.6076</f>
        <v>-4.354939999999997</v>
      </c>
      <c r="H7" s="6">
        <f>G7/6860.6</f>
        <v>-0.000634775384077194</v>
      </c>
      <c r="J7" s="7"/>
    </row>
    <row r="8" spans="1:10" ht="15">
      <c r="A8" s="3">
        <v>2</v>
      </c>
      <c r="B8" s="4" t="s">
        <v>6</v>
      </c>
      <c r="C8" s="6"/>
      <c r="D8" s="6">
        <v>626.9</v>
      </c>
      <c r="E8" s="17">
        <f>22.44+692.09-6.4</f>
        <v>708.1300000000001</v>
      </c>
      <c r="F8" s="17">
        <v>0</v>
      </c>
      <c r="G8" s="17">
        <f>D8-E8-F8+10.1485</f>
        <v>-71.08150000000013</v>
      </c>
      <c r="H8" s="6">
        <f aca="true" t="shared" si="0" ref="H8:H13">G8/6860.6</f>
        <v>-0.010360828498965123</v>
      </c>
      <c r="J8" s="7"/>
    </row>
    <row r="9" spans="1:10" ht="15">
      <c r="A9" s="3">
        <v>3</v>
      </c>
      <c r="B9" s="4" t="s">
        <v>12</v>
      </c>
      <c r="C9" s="5" t="s">
        <v>35</v>
      </c>
      <c r="D9" s="5">
        <f>50858-50069</f>
        <v>789</v>
      </c>
      <c r="E9" s="17">
        <f>922.39</f>
        <v>922.39</v>
      </c>
      <c r="F9" s="17">
        <v>25</v>
      </c>
      <c r="G9" s="17">
        <f>D9-E9-F9+10.2444</f>
        <v>-148.14559999999997</v>
      </c>
      <c r="H9" s="6">
        <f t="shared" si="0"/>
        <v>-0.02159367985307407</v>
      </c>
      <c r="J9" s="7"/>
    </row>
    <row r="10" spans="1:10" ht="15">
      <c r="A10" s="3">
        <v>4</v>
      </c>
      <c r="B10" s="4" t="s">
        <v>7</v>
      </c>
      <c r="C10" s="5"/>
      <c r="D10" s="5">
        <f>D8+D9</f>
        <v>1415.9</v>
      </c>
      <c r="E10" s="17">
        <f>1587.32+49.6-6.4</f>
        <v>1630.5199999999998</v>
      </c>
      <c r="F10" s="17">
        <f>F8+F9</f>
        <v>25</v>
      </c>
      <c r="G10" s="17">
        <v>0</v>
      </c>
      <c r="H10" s="6">
        <f t="shared" si="0"/>
        <v>0</v>
      </c>
      <c r="I10" s="8"/>
      <c r="J10" s="7"/>
    </row>
    <row r="11" spans="1:10" ht="15">
      <c r="A11" s="23">
        <v>5</v>
      </c>
      <c r="B11" s="4" t="s">
        <v>14</v>
      </c>
      <c r="C11" s="5"/>
      <c r="D11" s="6">
        <f>18708-246.223</f>
        <v>18461.777</v>
      </c>
      <c r="E11" s="17">
        <f>13931-298-0.003</f>
        <v>13632.997</v>
      </c>
      <c r="F11" s="17">
        <v>0</v>
      </c>
      <c r="G11" s="17">
        <f>D11-E11-F11-0.0005</f>
        <v>4828.779499999999</v>
      </c>
      <c r="H11" s="6">
        <f t="shared" si="0"/>
        <v>0.7038421566626824</v>
      </c>
      <c r="I11" s="8"/>
      <c r="J11" s="7"/>
    </row>
    <row r="12" spans="1:10" ht="15">
      <c r="A12" s="24"/>
      <c r="B12" s="4" t="s">
        <v>15</v>
      </c>
      <c r="C12" s="5"/>
      <c r="D12" s="18">
        <v>14280</v>
      </c>
      <c r="E12" s="17">
        <v>10781</v>
      </c>
      <c r="F12" s="17">
        <v>0</v>
      </c>
      <c r="G12" s="17">
        <f>D12-E12-F12-3481.7803</f>
        <v>17.219700000000103</v>
      </c>
      <c r="H12" s="6">
        <f t="shared" si="0"/>
        <v>0.0025099408215025075</v>
      </c>
      <c r="I12" s="8"/>
      <c r="J12" s="7"/>
    </row>
    <row r="13" spans="1:10" ht="15">
      <c r="A13" s="24"/>
      <c r="B13" s="15" t="s">
        <v>8</v>
      </c>
      <c r="C13" s="13"/>
      <c r="D13" s="14">
        <f>SUM(D11:D12)</f>
        <v>32741.777</v>
      </c>
      <c r="E13" s="14">
        <f>SUM(E11:E12)</f>
        <v>24413.997</v>
      </c>
      <c r="F13" s="14">
        <f>F11+F12</f>
        <v>0</v>
      </c>
      <c r="G13" s="22">
        <f>SUM(G11:G12)</f>
        <v>4845.999199999998</v>
      </c>
      <c r="H13" s="6">
        <f t="shared" si="0"/>
        <v>0.7063520974841848</v>
      </c>
      <c r="I13" s="8"/>
      <c r="J13" s="7"/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3:J35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3" sqref="A3"/>
    </sheetView>
  </sheetViews>
  <sheetFormatPr defaultColWidth="9.140625" defaultRowHeight="15"/>
  <cols>
    <col min="1" max="1" width="4.7109375" style="0" customWidth="1"/>
    <col min="2" max="2" width="24.00390625" style="0" customWidth="1"/>
    <col min="3" max="3" width="18.8515625" style="0" customWidth="1"/>
    <col min="4" max="4" width="15.28125" style="0" customWidth="1"/>
    <col min="5" max="5" width="17.00390625" style="0" customWidth="1"/>
    <col min="6" max="6" width="15.7109375" style="0" customWidth="1"/>
    <col min="7" max="7" width="12.7109375" style="0" customWidth="1"/>
    <col min="8" max="8" width="12.00390625" style="0" customWidth="1"/>
    <col min="9" max="9" width="9.57421875" style="0" bestFit="1" customWidth="1"/>
  </cols>
  <sheetData>
    <row r="3" spans="2:3" ht="15.75">
      <c r="B3" s="9" t="s">
        <v>36</v>
      </c>
      <c r="C3" s="9"/>
    </row>
    <row r="4" spans="1:8" ht="15">
      <c r="A4" s="27" t="s">
        <v>5</v>
      </c>
      <c r="B4" s="27"/>
      <c r="C4" s="27"/>
      <c r="D4" s="27"/>
      <c r="E4" s="27"/>
      <c r="F4" s="27"/>
      <c r="G4" s="27"/>
      <c r="H4" s="27"/>
    </row>
    <row r="5" spans="1:8" ht="70.5" customHeight="1">
      <c r="A5" s="28" t="s">
        <v>0</v>
      </c>
      <c r="B5" s="25" t="s">
        <v>1</v>
      </c>
      <c r="C5" s="28" t="s">
        <v>2</v>
      </c>
      <c r="D5" s="28" t="s">
        <v>9</v>
      </c>
      <c r="E5" s="28" t="s">
        <v>10</v>
      </c>
      <c r="F5" s="28" t="s">
        <v>11</v>
      </c>
      <c r="G5" s="28" t="s">
        <v>3</v>
      </c>
      <c r="H5" s="25" t="s">
        <v>4</v>
      </c>
    </row>
    <row r="6" spans="1:8" ht="33.75" customHeight="1">
      <c r="A6" s="29"/>
      <c r="B6" s="26"/>
      <c r="C6" s="29"/>
      <c r="D6" s="29"/>
      <c r="E6" s="29"/>
      <c r="F6" s="29"/>
      <c r="G6" s="29"/>
      <c r="H6" s="26"/>
    </row>
    <row r="7" spans="1:10" ht="15.75">
      <c r="A7" s="11">
        <v>1</v>
      </c>
      <c r="B7" s="12" t="s">
        <v>13</v>
      </c>
      <c r="C7" s="10"/>
      <c r="D7" s="16">
        <f>39.66</f>
        <v>39.66</v>
      </c>
      <c r="E7" s="20">
        <f>44.8002+0.0001</f>
        <v>44.8003</v>
      </c>
      <c r="F7" s="16">
        <v>0</v>
      </c>
      <c r="G7" s="17">
        <f>D7-E7-F7+1.1115</f>
        <v>-4.028800000000004</v>
      </c>
      <c r="H7" s="6">
        <f aca="true" t="shared" si="0" ref="H7:H13">G7/6860.6</f>
        <v>-0.0005872372678774457</v>
      </c>
      <c r="J7" s="7"/>
    </row>
    <row r="8" spans="1:10" ht="15">
      <c r="A8" s="3">
        <v>2</v>
      </c>
      <c r="B8" s="4" t="s">
        <v>6</v>
      </c>
      <c r="C8" s="6"/>
      <c r="D8" s="6">
        <f>694.6</f>
        <v>694.6</v>
      </c>
      <c r="E8" s="17">
        <f>740.5</f>
        <v>740.5</v>
      </c>
      <c r="F8" s="17">
        <v>0</v>
      </c>
      <c r="G8" s="17">
        <f>D8-E8-F8+9.6366</f>
        <v>-36.263399999999976</v>
      </c>
      <c r="H8" s="6">
        <f t="shared" si="0"/>
        <v>-0.0052857476022505285</v>
      </c>
      <c r="J8" s="7"/>
    </row>
    <row r="9" spans="1:10" ht="15">
      <c r="A9" s="3">
        <v>3</v>
      </c>
      <c r="B9" s="4" t="s">
        <v>12</v>
      </c>
      <c r="C9" s="5" t="s">
        <v>37</v>
      </c>
      <c r="D9" s="5">
        <f>51697-50858</f>
        <v>839</v>
      </c>
      <c r="E9" s="17">
        <f>807.42</f>
        <v>807.42</v>
      </c>
      <c r="F9" s="17">
        <f>14</f>
        <v>14</v>
      </c>
      <c r="G9" s="17">
        <f>D9-E9-F9</f>
        <v>17.58000000000004</v>
      </c>
      <c r="H9" s="6">
        <f t="shared" si="0"/>
        <v>0.0025624580940442586</v>
      </c>
      <c r="J9" s="7"/>
    </row>
    <row r="10" spans="1:10" ht="15">
      <c r="A10" s="3">
        <v>4</v>
      </c>
      <c r="B10" s="4" t="s">
        <v>7</v>
      </c>
      <c r="C10" s="5"/>
      <c r="D10" s="5">
        <f>D8+D9</f>
        <v>1533.6</v>
      </c>
      <c r="E10" s="17">
        <f>1547.92</f>
        <v>1547.92</v>
      </c>
      <c r="F10" s="17">
        <f>F8+F9</f>
        <v>14</v>
      </c>
      <c r="G10" s="17">
        <v>0</v>
      </c>
      <c r="H10" s="6">
        <f t="shared" si="0"/>
        <v>0</v>
      </c>
      <c r="I10" s="8"/>
      <c r="J10" s="7"/>
    </row>
    <row r="11" spans="1:10" ht="15">
      <c r="A11" s="23">
        <v>5</v>
      </c>
      <c r="B11" s="4" t="s">
        <v>14</v>
      </c>
      <c r="C11" s="5"/>
      <c r="D11" s="18">
        <f>17329-303.28</f>
        <v>17025.72</v>
      </c>
      <c r="E11" s="17">
        <f>11777</f>
        <v>11777</v>
      </c>
      <c r="F11" s="17">
        <v>0</v>
      </c>
      <c r="G11" s="17">
        <f>4846-0.0005</f>
        <v>4845.9995</v>
      </c>
      <c r="H11" s="6">
        <f t="shared" si="0"/>
        <v>0.7063521412121389</v>
      </c>
      <c r="I11" s="8"/>
      <c r="J11" s="7"/>
    </row>
    <row r="12" spans="1:10" ht="15">
      <c r="A12" s="24"/>
      <c r="B12" s="4" t="s">
        <v>15</v>
      </c>
      <c r="C12" s="5"/>
      <c r="D12" s="18">
        <f>17140</f>
        <v>17140</v>
      </c>
      <c r="E12" s="17">
        <f>11314</f>
        <v>11314</v>
      </c>
      <c r="F12" s="17">
        <v>0</v>
      </c>
      <c r="G12" s="17">
        <f>0</f>
        <v>0</v>
      </c>
      <c r="H12" s="6">
        <f t="shared" si="0"/>
        <v>0</v>
      </c>
      <c r="I12" s="8"/>
      <c r="J12" s="7"/>
    </row>
    <row r="13" spans="1:10" ht="15">
      <c r="A13" s="24"/>
      <c r="B13" s="15" t="s">
        <v>8</v>
      </c>
      <c r="C13" s="13"/>
      <c r="D13" s="14">
        <f>SUM(D11:D12)</f>
        <v>34165.72</v>
      </c>
      <c r="E13" s="14">
        <f>SUM(E11:E12)</f>
        <v>23091</v>
      </c>
      <c r="F13" s="14">
        <f>F11+F12</f>
        <v>0</v>
      </c>
      <c r="G13" s="22">
        <f>SUM(G11:G12)</f>
        <v>4845.9995</v>
      </c>
      <c r="H13" s="6">
        <f t="shared" si="0"/>
        <v>0.7063521412121389</v>
      </c>
      <c r="I13" s="8"/>
      <c r="J13" s="7"/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3:J35"/>
  <sheetViews>
    <sheetView tabSelected="1"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3" sqref="A3"/>
    </sheetView>
  </sheetViews>
  <sheetFormatPr defaultColWidth="9.140625" defaultRowHeight="15"/>
  <cols>
    <col min="1" max="1" width="4.7109375" style="0" customWidth="1"/>
    <col min="2" max="2" width="24.00390625" style="0" customWidth="1"/>
    <col min="3" max="3" width="18.8515625" style="0" customWidth="1"/>
    <col min="4" max="4" width="15.28125" style="0" customWidth="1"/>
    <col min="5" max="5" width="17.00390625" style="0" customWidth="1"/>
    <col min="6" max="6" width="15.7109375" style="0" customWidth="1"/>
    <col min="7" max="7" width="12.7109375" style="0" customWidth="1"/>
    <col min="8" max="8" width="12.00390625" style="0" customWidth="1"/>
    <col min="9" max="9" width="9.57421875" style="0" bestFit="1" customWidth="1"/>
  </cols>
  <sheetData>
    <row r="3" spans="2:3" ht="15.75">
      <c r="B3" s="9" t="s">
        <v>38</v>
      </c>
      <c r="C3" s="9"/>
    </row>
    <row r="4" spans="1:8" ht="15">
      <c r="A4" s="27" t="s">
        <v>5</v>
      </c>
      <c r="B4" s="27"/>
      <c r="C4" s="27"/>
      <c r="D4" s="27"/>
      <c r="E4" s="27"/>
      <c r="F4" s="27"/>
      <c r="G4" s="27"/>
      <c r="H4" s="27"/>
    </row>
    <row r="5" spans="1:8" ht="70.5" customHeight="1">
      <c r="A5" s="28" t="s">
        <v>0</v>
      </c>
      <c r="B5" s="25" t="s">
        <v>1</v>
      </c>
      <c r="C5" s="28" t="s">
        <v>2</v>
      </c>
      <c r="D5" s="28" t="s">
        <v>9</v>
      </c>
      <c r="E5" s="28" t="s">
        <v>10</v>
      </c>
      <c r="F5" s="28" t="s">
        <v>11</v>
      </c>
      <c r="G5" s="28" t="s">
        <v>3</v>
      </c>
      <c r="H5" s="25" t="s">
        <v>4</v>
      </c>
    </row>
    <row r="6" spans="1:8" ht="33.75" customHeight="1">
      <c r="A6" s="29"/>
      <c r="B6" s="26"/>
      <c r="C6" s="29"/>
      <c r="D6" s="29"/>
      <c r="E6" s="29"/>
      <c r="F6" s="29"/>
      <c r="G6" s="29"/>
      <c r="H6" s="26"/>
    </row>
    <row r="7" spans="1:10" ht="15.75">
      <c r="A7" s="11">
        <v>1</v>
      </c>
      <c r="B7" s="12" t="s">
        <v>13</v>
      </c>
      <c r="C7" s="10"/>
      <c r="D7" s="16">
        <f>40.8</f>
        <v>40.8</v>
      </c>
      <c r="E7" s="20">
        <f>42.3279-0.0005</f>
        <v>42.3274</v>
      </c>
      <c r="F7" s="16">
        <v>0</v>
      </c>
      <c r="G7" s="17">
        <f>D7-E7-F7+0.2483</f>
        <v>-1.2791000000000001</v>
      </c>
      <c r="H7" s="6">
        <f aca="true" t="shared" si="0" ref="H7:H13">G7/6860.6</f>
        <v>-0.00018644141911786143</v>
      </c>
      <c r="J7" s="7"/>
    </row>
    <row r="8" spans="1:10" ht="15">
      <c r="A8" s="3">
        <v>2</v>
      </c>
      <c r="B8" s="4" t="s">
        <v>6</v>
      </c>
      <c r="C8" s="6"/>
      <c r="D8" s="6">
        <f>690.2</f>
        <v>690.2</v>
      </c>
      <c r="E8" s="17">
        <f>672.94</f>
        <v>672.94</v>
      </c>
      <c r="F8" s="17">
        <v>0</v>
      </c>
      <c r="G8" s="17">
        <f>D8-E8-F8-0.0005</f>
        <v>17.259499999999992</v>
      </c>
      <c r="H8" s="6">
        <f t="shared" si="0"/>
        <v>0.0025157420633763797</v>
      </c>
      <c r="J8" s="7"/>
    </row>
    <row r="9" spans="1:10" ht="15">
      <c r="A9" s="3">
        <v>3</v>
      </c>
      <c r="B9" s="4" t="s">
        <v>12</v>
      </c>
      <c r="C9" s="5" t="s">
        <v>39</v>
      </c>
      <c r="D9" s="5">
        <f>52348-51697</f>
        <v>651</v>
      </c>
      <c r="E9" s="17">
        <f>593.54</f>
        <v>593.54</v>
      </c>
      <c r="F9" s="17">
        <f>13</f>
        <v>13</v>
      </c>
      <c r="G9" s="17">
        <f>26.1684+0.0003</f>
        <v>26.168699999999998</v>
      </c>
      <c r="H9" s="6">
        <f t="shared" si="0"/>
        <v>0.003814345684050957</v>
      </c>
      <c r="J9" s="7"/>
    </row>
    <row r="10" spans="1:10" ht="15">
      <c r="A10" s="3">
        <v>4</v>
      </c>
      <c r="B10" s="4" t="s">
        <v>7</v>
      </c>
      <c r="C10" s="5"/>
      <c r="D10" s="5">
        <f>D8+D9</f>
        <v>1341.2</v>
      </c>
      <c r="E10" s="17">
        <f>1266.48</f>
        <v>1266.48</v>
      </c>
      <c r="F10" s="17">
        <f>F8+F9</f>
        <v>13</v>
      </c>
      <c r="G10" s="17">
        <v>0</v>
      </c>
      <c r="H10" s="6">
        <f t="shared" si="0"/>
        <v>0</v>
      </c>
      <c r="I10" s="8"/>
      <c r="J10" s="7"/>
    </row>
    <row r="11" spans="1:10" ht="15">
      <c r="A11" s="23">
        <v>5</v>
      </c>
      <c r="B11" s="4" t="s">
        <v>14</v>
      </c>
      <c r="C11" s="5"/>
      <c r="D11" s="18">
        <f>15010-314.448-0.002</f>
        <v>14695.55</v>
      </c>
      <c r="E11" s="17">
        <f>13858</f>
        <v>13858</v>
      </c>
      <c r="F11" s="17">
        <v>0</v>
      </c>
      <c r="G11" s="17">
        <f>D11-E11-F11+0.0014</f>
        <v>837.5513999999993</v>
      </c>
      <c r="H11" s="6">
        <f t="shared" si="0"/>
        <v>0.12208136314608041</v>
      </c>
      <c r="I11" s="8"/>
      <c r="J11" s="7"/>
    </row>
    <row r="12" spans="1:10" ht="15">
      <c r="A12" s="24"/>
      <c r="B12" s="4" t="s">
        <v>15</v>
      </c>
      <c r="C12" s="5"/>
      <c r="D12" s="18">
        <f>11260</f>
        <v>11260</v>
      </c>
      <c r="E12" s="17">
        <f>12017</f>
        <v>12017</v>
      </c>
      <c r="F12" s="17">
        <v>0</v>
      </c>
      <c r="G12" s="17">
        <f>D12-E12-F12-0.0001</f>
        <v>-757.0001</v>
      </c>
      <c r="H12" s="6">
        <f t="shared" si="0"/>
        <v>-0.11034021805672972</v>
      </c>
      <c r="I12" s="8"/>
      <c r="J12" s="7"/>
    </row>
    <row r="13" spans="1:10" ht="15">
      <c r="A13" s="24"/>
      <c r="B13" s="15" t="s">
        <v>8</v>
      </c>
      <c r="C13" s="13"/>
      <c r="D13" s="14">
        <f>SUM(D11:D12)</f>
        <v>25955.55</v>
      </c>
      <c r="E13" s="14">
        <f>SUM(E11:E12)</f>
        <v>25875</v>
      </c>
      <c r="F13" s="14">
        <f>F11+F12</f>
        <v>0</v>
      </c>
      <c r="G13" s="22">
        <f>SUM(G11:G12)</f>
        <v>80.55129999999929</v>
      </c>
      <c r="H13" s="6">
        <f t="shared" si="0"/>
        <v>0.011741145089350681</v>
      </c>
      <c r="I13" s="8"/>
      <c r="J13" s="7"/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5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E8" sqref="E8"/>
    </sheetView>
  </sheetViews>
  <sheetFormatPr defaultColWidth="9.140625" defaultRowHeight="15"/>
  <cols>
    <col min="1" max="1" width="4.7109375" style="0" customWidth="1"/>
    <col min="2" max="2" width="24.00390625" style="0" customWidth="1"/>
    <col min="3" max="3" width="18.8515625" style="0" customWidth="1"/>
    <col min="4" max="4" width="15.28125" style="0" customWidth="1"/>
    <col min="5" max="5" width="17.00390625" style="0" customWidth="1"/>
    <col min="6" max="6" width="15.7109375" style="0" customWidth="1"/>
    <col min="7" max="7" width="12.7109375" style="0" customWidth="1"/>
    <col min="8" max="8" width="12.00390625" style="0" customWidth="1"/>
    <col min="9" max="9" width="9.57421875" style="0" bestFit="1" customWidth="1"/>
  </cols>
  <sheetData>
    <row r="3" spans="2:3" ht="15.75">
      <c r="B3" s="9" t="s">
        <v>18</v>
      </c>
      <c r="C3" s="9"/>
    </row>
    <row r="4" spans="1:8" ht="15">
      <c r="A4" s="27" t="s">
        <v>5</v>
      </c>
      <c r="B4" s="27"/>
      <c r="C4" s="27"/>
      <c r="D4" s="27"/>
      <c r="E4" s="27"/>
      <c r="F4" s="27"/>
      <c r="G4" s="27"/>
      <c r="H4" s="27"/>
    </row>
    <row r="5" spans="1:8" ht="70.5" customHeight="1">
      <c r="A5" s="28" t="s">
        <v>0</v>
      </c>
      <c r="B5" s="25" t="s">
        <v>1</v>
      </c>
      <c r="C5" s="28" t="s">
        <v>2</v>
      </c>
      <c r="D5" s="28" t="s">
        <v>9</v>
      </c>
      <c r="E5" s="28" t="s">
        <v>10</v>
      </c>
      <c r="F5" s="28" t="s">
        <v>11</v>
      </c>
      <c r="G5" s="28" t="s">
        <v>3</v>
      </c>
      <c r="H5" s="25" t="s">
        <v>4</v>
      </c>
    </row>
    <row r="6" spans="1:8" ht="33.75" customHeight="1">
      <c r="A6" s="29"/>
      <c r="B6" s="26"/>
      <c r="C6" s="29"/>
      <c r="D6" s="29"/>
      <c r="E6" s="29"/>
      <c r="F6" s="29"/>
      <c r="G6" s="29"/>
      <c r="H6" s="26"/>
    </row>
    <row r="7" spans="1:10" ht="15.75">
      <c r="A7" s="11">
        <v>1</v>
      </c>
      <c r="B7" s="12" t="s">
        <v>13</v>
      </c>
      <c r="C7" s="10"/>
      <c r="D7" s="16">
        <f>46.5</f>
        <v>46.5</v>
      </c>
      <c r="E7" s="16">
        <f>E8*0.0478+0.00085</f>
        <v>41.5581846268</v>
      </c>
      <c r="F7" s="16">
        <v>0</v>
      </c>
      <c r="G7" s="17">
        <f>22.2916*0.0478+0.0002</f>
        <v>1.06573848</v>
      </c>
      <c r="H7" s="6">
        <f aca="true" t="shared" si="0" ref="H7:H13">G7/6860.6</f>
        <v>0.0001553418768037781</v>
      </c>
      <c r="J7" s="7"/>
    </row>
    <row r="8" spans="1:10" ht="15">
      <c r="A8" s="3">
        <v>2</v>
      </c>
      <c r="B8" s="4" t="s">
        <v>6</v>
      </c>
      <c r="C8" s="6"/>
      <c r="D8" s="6">
        <f>686.2</f>
        <v>686.2</v>
      </c>
      <c r="E8" s="17">
        <f>19.5445-5.574194+841.54+13.89</f>
        <v>869.400306</v>
      </c>
      <c r="F8" s="17">
        <v>0</v>
      </c>
      <c r="G8" s="17">
        <f>D8-E8-F8+16.5704</f>
        <v>-166.62990599999995</v>
      </c>
      <c r="H8" s="6">
        <f t="shared" si="0"/>
        <v>-0.02428794945048537</v>
      </c>
      <c r="J8" s="7"/>
    </row>
    <row r="9" spans="1:10" ht="15">
      <c r="A9" s="3">
        <v>3</v>
      </c>
      <c r="B9" s="4" t="s">
        <v>12</v>
      </c>
      <c r="C9" s="5" t="s">
        <v>19</v>
      </c>
      <c r="D9" s="5">
        <f>44225-43433</f>
        <v>792</v>
      </c>
      <c r="E9" s="17">
        <f>668.51+46.47</f>
        <v>714.98</v>
      </c>
      <c r="F9" s="17">
        <f>17</f>
        <v>17</v>
      </c>
      <c r="G9" s="17">
        <f>22.2916-0.0002</f>
        <v>22.2914</v>
      </c>
      <c r="H9" s="6">
        <f t="shared" si="0"/>
        <v>0.003249191032854269</v>
      </c>
      <c r="J9" s="7"/>
    </row>
    <row r="10" spans="1:10" ht="15">
      <c r="A10" s="3">
        <v>4</v>
      </c>
      <c r="B10" s="4" t="s">
        <v>7</v>
      </c>
      <c r="C10" s="5"/>
      <c r="D10" s="5">
        <f>D8+D9</f>
        <v>1478.2</v>
      </c>
      <c r="E10" s="17">
        <f>1373.02+170.85+40.5103</f>
        <v>1584.3802999999998</v>
      </c>
      <c r="F10" s="17">
        <f>F8+F9</f>
        <v>17</v>
      </c>
      <c r="G10" s="17">
        <v>0</v>
      </c>
      <c r="H10" s="6">
        <f t="shared" si="0"/>
        <v>0</v>
      </c>
      <c r="I10" s="8"/>
      <c r="J10" s="7"/>
    </row>
    <row r="11" spans="1:10" ht="15">
      <c r="A11" s="23">
        <v>5</v>
      </c>
      <c r="B11" s="4" t="s">
        <v>14</v>
      </c>
      <c r="C11" s="5"/>
      <c r="D11" s="18">
        <f>17034-347.939</f>
        <v>16686.061</v>
      </c>
      <c r="E11" s="17">
        <f>13188</f>
        <v>13188</v>
      </c>
      <c r="F11" s="17">
        <v>0</v>
      </c>
      <c r="G11" s="17">
        <f>D11-E11-F11-0.0002</f>
        <v>3498.0608000000016</v>
      </c>
      <c r="H11" s="6">
        <f t="shared" si="0"/>
        <v>0.5098768037780954</v>
      </c>
      <c r="I11" s="8"/>
      <c r="J11" s="7"/>
    </row>
    <row r="12" spans="1:10" ht="15">
      <c r="A12" s="24"/>
      <c r="B12" s="4" t="s">
        <v>15</v>
      </c>
      <c r="C12" s="5"/>
      <c r="D12" s="18">
        <f>16324-653.084</f>
        <v>15670.916</v>
      </c>
      <c r="E12" s="17">
        <f>11077</f>
        <v>11077</v>
      </c>
      <c r="F12" s="17">
        <v>0</v>
      </c>
      <c r="G12" s="17">
        <f>1347.9402</f>
        <v>1347.9402</v>
      </c>
      <c r="H12" s="6">
        <f t="shared" si="0"/>
        <v>0.19647555607381278</v>
      </c>
      <c r="I12" s="8"/>
      <c r="J12" s="7"/>
    </row>
    <row r="13" spans="1:10" ht="15">
      <c r="A13" s="24"/>
      <c r="B13" s="15" t="s">
        <v>8</v>
      </c>
      <c r="C13" s="13"/>
      <c r="D13" s="14">
        <f>SUM(D11:D12)</f>
        <v>32356.977</v>
      </c>
      <c r="E13" s="14">
        <f>SUM(E11:E12)</f>
        <v>24265</v>
      </c>
      <c r="F13" s="14">
        <f>F11+F12</f>
        <v>0</v>
      </c>
      <c r="G13" s="14">
        <f>SUM(G11:G12)</f>
        <v>4846.001000000002</v>
      </c>
      <c r="H13" s="6">
        <f t="shared" si="0"/>
        <v>0.7063523598519083</v>
      </c>
      <c r="I13" s="8"/>
      <c r="J13" s="7"/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J35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3" sqref="A3"/>
    </sheetView>
  </sheetViews>
  <sheetFormatPr defaultColWidth="9.140625" defaultRowHeight="15"/>
  <cols>
    <col min="1" max="1" width="4.7109375" style="0" customWidth="1"/>
    <col min="2" max="2" width="24.00390625" style="0" customWidth="1"/>
    <col min="3" max="3" width="18.8515625" style="0" customWidth="1"/>
    <col min="4" max="4" width="15.28125" style="0" customWidth="1"/>
    <col min="5" max="5" width="17.00390625" style="0" customWidth="1"/>
    <col min="6" max="6" width="15.7109375" style="0" customWidth="1"/>
    <col min="7" max="7" width="12.7109375" style="0" customWidth="1"/>
    <col min="8" max="8" width="12.00390625" style="0" customWidth="1"/>
    <col min="9" max="9" width="9.57421875" style="0" bestFit="1" customWidth="1"/>
  </cols>
  <sheetData>
    <row r="3" spans="2:3" ht="15.75">
      <c r="B3" s="9" t="s">
        <v>20</v>
      </c>
      <c r="C3" s="9"/>
    </row>
    <row r="4" spans="1:8" ht="15">
      <c r="A4" s="27" t="s">
        <v>5</v>
      </c>
      <c r="B4" s="27"/>
      <c r="C4" s="27"/>
      <c r="D4" s="27"/>
      <c r="E4" s="27"/>
      <c r="F4" s="27"/>
      <c r="G4" s="27"/>
      <c r="H4" s="27"/>
    </row>
    <row r="5" spans="1:8" ht="70.5" customHeight="1">
      <c r="A5" s="28" t="s">
        <v>0</v>
      </c>
      <c r="B5" s="25" t="s">
        <v>1</v>
      </c>
      <c r="C5" s="28" t="s">
        <v>2</v>
      </c>
      <c r="D5" s="28" t="s">
        <v>9</v>
      </c>
      <c r="E5" s="28" t="s">
        <v>10</v>
      </c>
      <c r="F5" s="28" t="s">
        <v>11</v>
      </c>
      <c r="G5" s="28" t="s">
        <v>3</v>
      </c>
      <c r="H5" s="25" t="s">
        <v>4</v>
      </c>
    </row>
    <row r="6" spans="1:8" ht="33.75" customHeight="1">
      <c r="A6" s="29"/>
      <c r="B6" s="26"/>
      <c r="C6" s="29"/>
      <c r="D6" s="29"/>
      <c r="E6" s="29"/>
      <c r="F6" s="29"/>
      <c r="G6" s="29"/>
      <c r="H6" s="26"/>
    </row>
    <row r="7" spans="1:10" ht="15.75">
      <c r="A7" s="11">
        <v>1</v>
      </c>
      <c r="B7" s="12" t="s">
        <v>13</v>
      </c>
      <c r="C7" s="10"/>
      <c r="D7" s="16">
        <f>50.34</f>
        <v>50.34</v>
      </c>
      <c r="E7" s="16">
        <f>E8*0.0478+0.00051</f>
        <v>39.585602</v>
      </c>
      <c r="F7" s="16">
        <v>0</v>
      </c>
      <c r="G7" s="17">
        <f>22.2916*0.0478+0.0002</f>
        <v>1.06573848</v>
      </c>
      <c r="H7" s="6">
        <f aca="true" t="shared" si="0" ref="H7:H13">G7/6860.6</f>
        <v>0.0001553418768037781</v>
      </c>
      <c r="J7" s="7"/>
    </row>
    <row r="8" spans="1:10" ht="15">
      <c r="A8" s="3">
        <v>2</v>
      </c>
      <c r="B8" s="4" t="s">
        <v>6</v>
      </c>
      <c r="C8" s="6"/>
      <c r="D8" s="6">
        <f>680.4</f>
        <v>680.4</v>
      </c>
      <c r="E8" s="17">
        <f>814.48+13.66</f>
        <v>828.14</v>
      </c>
      <c r="F8" s="17">
        <v>0</v>
      </c>
      <c r="G8" s="17">
        <f>D8-E8-F8+15.1369</f>
        <v>-132.6031</v>
      </c>
      <c r="H8" s="6">
        <f t="shared" si="0"/>
        <v>-0.01932820744541294</v>
      </c>
      <c r="J8" s="7"/>
    </row>
    <row r="9" spans="1:10" ht="15">
      <c r="A9" s="3">
        <v>3</v>
      </c>
      <c r="B9" s="4" t="s">
        <v>12</v>
      </c>
      <c r="C9" s="5" t="s">
        <v>21</v>
      </c>
      <c r="D9" s="5">
        <f>45217-44225</f>
        <v>992</v>
      </c>
      <c r="E9" s="17">
        <f>638.42+71.86</f>
        <v>710.28</v>
      </c>
      <c r="F9" s="17">
        <f>11</f>
        <v>11</v>
      </c>
      <c r="G9" s="17">
        <f>22.2916-0.0002</f>
        <v>22.2914</v>
      </c>
      <c r="H9" s="6">
        <f t="shared" si="0"/>
        <v>0.003249191032854269</v>
      </c>
      <c r="J9" s="7"/>
    </row>
    <row r="10" spans="1:10" ht="15">
      <c r="A10" s="3">
        <v>4</v>
      </c>
      <c r="B10" s="4" t="s">
        <v>7</v>
      </c>
      <c r="C10" s="5"/>
      <c r="D10" s="5">
        <f>D8+D9</f>
        <v>1672.4</v>
      </c>
      <c r="E10" s="17">
        <f>1337.04+201.38</f>
        <v>1538.42</v>
      </c>
      <c r="F10" s="17">
        <f>F8+F9</f>
        <v>11</v>
      </c>
      <c r="G10" s="17">
        <v>0</v>
      </c>
      <c r="H10" s="6">
        <f t="shared" si="0"/>
        <v>0</v>
      </c>
      <c r="I10" s="8"/>
      <c r="J10" s="7"/>
    </row>
    <row r="11" spans="1:10" ht="15">
      <c r="A11" s="23">
        <v>5</v>
      </c>
      <c r="B11" s="4" t="s">
        <v>14</v>
      </c>
      <c r="C11" s="5"/>
      <c r="D11" s="6">
        <f>13742-212.11</f>
        <v>13529.89</v>
      </c>
      <c r="E11" s="17">
        <f>14822</f>
        <v>14822</v>
      </c>
      <c r="F11" s="17">
        <v>0</v>
      </c>
      <c r="G11" s="17">
        <f>D11-E11-F11+0.0011</f>
        <v>-1292.1089000000006</v>
      </c>
      <c r="H11" s="6">
        <f t="shared" si="0"/>
        <v>-0.18833759437950043</v>
      </c>
      <c r="I11" s="8"/>
      <c r="J11" s="7"/>
    </row>
    <row r="12" spans="1:10" ht="15">
      <c r="A12" s="24"/>
      <c r="B12" s="4" t="s">
        <v>15</v>
      </c>
      <c r="C12" s="5"/>
      <c r="D12" s="6">
        <f>17163-649.98</f>
        <v>16513.02</v>
      </c>
      <c r="E12" s="17">
        <f>11997</f>
        <v>11997</v>
      </c>
      <c r="F12" s="17">
        <v>0</v>
      </c>
      <c r="G12" s="17">
        <f>D12-E12-F12-0.0002</f>
        <v>4516.0198</v>
      </c>
      <c r="H12" s="6">
        <f t="shared" si="0"/>
        <v>0.6582543509314054</v>
      </c>
      <c r="I12" s="8"/>
      <c r="J12" s="7"/>
    </row>
    <row r="13" spans="1:10" ht="15">
      <c r="A13" s="24"/>
      <c r="B13" s="15" t="s">
        <v>8</v>
      </c>
      <c r="C13" s="13"/>
      <c r="D13" s="14">
        <f>SUM(D11:D12)</f>
        <v>30042.91</v>
      </c>
      <c r="E13" s="14">
        <f>SUM(E11:E12)</f>
        <v>26819</v>
      </c>
      <c r="F13" s="14">
        <f>F11+F12</f>
        <v>0</v>
      </c>
      <c r="G13" s="14">
        <f>SUM(G11:G12)</f>
        <v>3223.9108999999994</v>
      </c>
      <c r="H13" s="6">
        <f t="shared" si="0"/>
        <v>0.46991675655190496</v>
      </c>
      <c r="I13" s="8"/>
      <c r="J13" s="7"/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J35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G11" sqref="G11"/>
    </sheetView>
  </sheetViews>
  <sheetFormatPr defaultColWidth="9.140625" defaultRowHeight="15"/>
  <cols>
    <col min="1" max="1" width="4.7109375" style="0" customWidth="1"/>
    <col min="2" max="2" width="24.00390625" style="0" customWidth="1"/>
    <col min="3" max="3" width="18.8515625" style="0" customWidth="1"/>
    <col min="4" max="4" width="15.28125" style="0" customWidth="1"/>
    <col min="5" max="5" width="17.00390625" style="0" customWidth="1"/>
    <col min="6" max="6" width="15.7109375" style="0" customWidth="1"/>
    <col min="7" max="7" width="12.7109375" style="0" customWidth="1"/>
    <col min="8" max="8" width="12.00390625" style="0" customWidth="1"/>
    <col min="9" max="9" width="9.57421875" style="0" bestFit="1" customWidth="1"/>
  </cols>
  <sheetData>
    <row r="3" spans="2:3" ht="15.75">
      <c r="B3" s="9" t="s">
        <v>22</v>
      </c>
      <c r="C3" s="9"/>
    </row>
    <row r="4" spans="1:8" ht="15">
      <c r="A4" s="27" t="s">
        <v>5</v>
      </c>
      <c r="B4" s="27"/>
      <c r="C4" s="27"/>
      <c r="D4" s="27"/>
      <c r="E4" s="27"/>
      <c r="F4" s="27"/>
      <c r="G4" s="27"/>
      <c r="H4" s="27"/>
    </row>
    <row r="5" spans="1:8" ht="70.5" customHeight="1">
      <c r="A5" s="28" t="s">
        <v>0</v>
      </c>
      <c r="B5" s="25" t="s">
        <v>1</v>
      </c>
      <c r="C5" s="28" t="s">
        <v>2</v>
      </c>
      <c r="D5" s="28" t="s">
        <v>9</v>
      </c>
      <c r="E5" s="28" t="s">
        <v>10</v>
      </c>
      <c r="F5" s="28" t="s">
        <v>11</v>
      </c>
      <c r="G5" s="28" t="s">
        <v>3</v>
      </c>
      <c r="H5" s="25" t="s">
        <v>4</v>
      </c>
    </row>
    <row r="6" spans="1:8" ht="33.75" customHeight="1">
      <c r="A6" s="29"/>
      <c r="B6" s="26"/>
      <c r="C6" s="29"/>
      <c r="D6" s="29"/>
      <c r="E6" s="29"/>
      <c r="F6" s="29"/>
      <c r="G6" s="29"/>
      <c r="H6" s="26"/>
    </row>
    <row r="7" spans="1:10" ht="15.75">
      <c r="A7" s="11">
        <v>1</v>
      </c>
      <c r="B7" s="12" t="s">
        <v>13</v>
      </c>
      <c r="C7" s="10"/>
      <c r="D7" s="16">
        <f>47.91</f>
        <v>47.91</v>
      </c>
      <c r="E7" s="16">
        <f>E8*0.0478+0.0007</f>
        <v>37.786122000000006</v>
      </c>
      <c r="F7" s="16">
        <v>0</v>
      </c>
      <c r="G7" s="17">
        <f>22.2916*0.0478+0.0002</f>
        <v>1.06573848</v>
      </c>
      <c r="H7" s="6">
        <f aca="true" t="shared" si="0" ref="H7:H13">G7/6860.6</f>
        <v>0.0001553418768037781</v>
      </c>
      <c r="J7" s="7"/>
    </row>
    <row r="8" spans="1:10" ht="15">
      <c r="A8" s="3">
        <v>2</v>
      </c>
      <c r="B8" s="4" t="s">
        <v>6</v>
      </c>
      <c r="C8" s="6"/>
      <c r="D8" s="6">
        <f>658.6</f>
        <v>658.6</v>
      </c>
      <c r="E8" s="17">
        <f>768.95+21.54</f>
        <v>790.49</v>
      </c>
      <c r="F8" s="17">
        <v>0</v>
      </c>
      <c r="G8" s="17">
        <f>D8-E8-F8+20.3024</f>
        <v>-111.58759999999998</v>
      </c>
      <c r="H8" s="6">
        <f t="shared" si="0"/>
        <v>-0.016264991400169078</v>
      </c>
      <c r="J8" s="7"/>
    </row>
    <row r="9" spans="1:10" ht="15">
      <c r="A9" s="3">
        <v>3</v>
      </c>
      <c r="B9" s="4" t="s">
        <v>12</v>
      </c>
      <c r="C9" s="5" t="s">
        <v>23</v>
      </c>
      <c r="D9" s="5">
        <f>46034-45217</f>
        <v>817</v>
      </c>
      <c r="E9" s="17">
        <f>918.55+46.08</f>
        <v>964.63</v>
      </c>
      <c r="F9" s="17">
        <f>14</f>
        <v>14</v>
      </c>
      <c r="G9" s="17">
        <f>D9-E9-F9+8.99</f>
        <v>-152.64</v>
      </c>
      <c r="H9" s="6">
        <f t="shared" si="0"/>
        <v>-0.022248782905285248</v>
      </c>
      <c r="J9" s="7"/>
    </row>
    <row r="10" spans="1:10" ht="15">
      <c r="A10" s="3">
        <v>4</v>
      </c>
      <c r="B10" s="4" t="s">
        <v>7</v>
      </c>
      <c r="C10" s="5"/>
      <c r="D10" s="5">
        <f>D8+D9</f>
        <v>1475.6</v>
      </c>
      <c r="E10" s="17">
        <f>1569.9+185.22</f>
        <v>1755.1200000000001</v>
      </c>
      <c r="F10" s="17">
        <f>F8+F9</f>
        <v>14</v>
      </c>
      <c r="G10" s="17">
        <v>0</v>
      </c>
      <c r="H10" s="6">
        <f t="shared" si="0"/>
        <v>0</v>
      </c>
      <c r="I10" s="8"/>
      <c r="J10" s="7"/>
    </row>
    <row r="11" spans="1:10" ht="15">
      <c r="A11" s="23">
        <v>5</v>
      </c>
      <c r="B11" s="4" t="s">
        <v>14</v>
      </c>
      <c r="C11" s="5"/>
      <c r="D11" s="6">
        <f>16397-158.77</f>
        <v>16238.23</v>
      </c>
      <c r="E11" s="17">
        <f>8078</f>
        <v>8078</v>
      </c>
      <c r="F11" s="17">
        <v>0</v>
      </c>
      <c r="G11" s="17">
        <f>4846-0.0005</f>
        <v>4845.9995</v>
      </c>
      <c r="H11" s="6">
        <f t="shared" si="0"/>
        <v>0.7063521412121389</v>
      </c>
      <c r="I11" s="8"/>
      <c r="J11" s="7"/>
    </row>
    <row r="12" spans="1:10" ht="15">
      <c r="A12" s="24"/>
      <c r="B12" s="4" t="s">
        <v>15</v>
      </c>
      <c r="C12" s="5"/>
      <c r="D12" s="6">
        <f>17437-667.35</f>
        <v>16769.65</v>
      </c>
      <c r="E12" s="17">
        <f>13841</f>
        <v>13841</v>
      </c>
      <c r="F12" s="17">
        <v>0</v>
      </c>
      <c r="G12" s="19">
        <f>0</f>
        <v>0</v>
      </c>
      <c r="H12" s="6">
        <f t="shared" si="0"/>
        <v>0</v>
      </c>
      <c r="I12" s="8"/>
      <c r="J12" s="7"/>
    </row>
    <row r="13" spans="1:10" ht="15">
      <c r="A13" s="24"/>
      <c r="B13" s="15" t="s">
        <v>8</v>
      </c>
      <c r="C13" s="13"/>
      <c r="D13" s="14">
        <f>SUM(D11:D12)</f>
        <v>33007.880000000005</v>
      </c>
      <c r="E13" s="14">
        <f>SUM(E11:E12)</f>
        <v>21919</v>
      </c>
      <c r="F13" s="14">
        <f>F11+F12</f>
        <v>0</v>
      </c>
      <c r="G13" s="14">
        <f>SUM(G11:G12)</f>
        <v>4845.9995</v>
      </c>
      <c r="H13" s="6">
        <f t="shared" si="0"/>
        <v>0.7063521412121389</v>
      </c>
      <c r="I13" s="8"/>
      <c r="J13" s="7"/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J35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5" sqref="C5:C6"/>
    </sheetView>
  </sheetViews>
  <sheetFormatPr defaultColWidth="9.140625" defaultRowHeight="15"/>
  <cols>
    <col min="1" max="1" width="4.7109375" style="0" customWidth="1"/>
    <col min="2" max="2" width="24.00390625" style="0" customWidth="1"/>
    <col min="3" max="3" width="18.8515625" style="0" customWidth="1"/>
    <col min="4" max="4" width="15.28125" style="0" customWidth="1"/>
    <col min="5" max="5" width="17.00390625" style="0" customWidth="1"/>
    <col min="6" max="6" width="15.7109375" style="0" customWidth="1"/>
    <col min="7" max="7" width="12.7109375" style="0" customWidth="1"/>
    <col min="8" max="8" width="12.00390625" style="0" customWidth="1"/>
    <col min="9" max="9" width="9.57421875" style="0" bestFit="1" customWidth="1"/>
  </cols>
  <sheetData>
    <row r="3" spans="2:3" ht="15.75">
      <c r="B3" s="9" t="s">
        <v>24</v>
      </c>
      <c r="C3" s="9"/>
    </row>
    <row r="4" spans="1:8" ht="15">
      <c r="A4" s="27" t="s">
        <v>5</v>
      </c>
      <c r="B4" s="27"/>
      <c r="C4" s="27"/>
      <c r="D4" s="27"/>
      <c r="E4" s="27"/>
      <c r="F4" s="27"/>
      <c r="G4" s="27"/>
      <c r="H4" s="27"/>
    </row>
    <row r="5" spans="1:8" ht="70.5" customHeight="1">
      <c r="A5" s="28" t="s">
        <v>0</v>
      </c>
      <c r="B5" s="25" t="s">
        <v>1</v>
      </c>
      <c r="C5" s="28" t="s">
        <v>2</v>
      </c>
      <c r="D5" s="28" t="s">
        <v>9</v>
      </c>
      <c r="E5" s="28" t="s">
        <v>10</v>
      </c>
      <c r="F5" s="28" t="s">
        <v>11</v>
      </c>
      <c r="G5" s="28" t="s">
        <v>3</v>
      </c>
      <c r="H5" s="25" t="s">
        <v>4</v>
      </c>
    </row>
    <row r="6" spans="1:8" ht="33.75" customHeight="1">
      <c r="A6" s="29"/>
      <c r="B6" s="26"/>
      <c r="C6" s="29"/>
      <c r="D6" s="29"/>
      <c r="E6" s="29"/>
      <c r="F6" s="29"/>
      <c r="G6" s="29"/>
      <c r="H6" s="26"/>
    </row>
    <row r="7" spans="1:10" ht="15.75">
      <c r="A7" s="11">
        <v>1</v>
      </c>
      <c r="B7" s="12" t="s">
        <v>13</v>
      </c>
      <c r="C7" s="10"/>
      <c r="D7" s="16">
        <f>36.19</f>
        <v>36.19</v>
      </c>
      <c r="E7" s="20">
        <f>31.5966-0.001</f>
        <v>31.595599999999997</v>
      </c>
      <c r="F7" s="16">
        <v>0</v>
      </c>
      <c r="G7" s="21">
        <f>22.2916*0.0543+0.0001</f>
        <v>1.21053388</v>
      </c>
      <c r="H7" s="6">
        <f aca="true" t="shared" si="0" ref="H7:H13">G7/6860.6</f>
        <v>0.00017644723202052298</v>
      </c>
      <c r="J7" s="7"/>
    </row>
    <row r="8" spans="1:10" ht="15">
      <c r="A8" s="3">
        <v>2</v>
      </c>
      <c r="B8" s="4" t="s">
        <v>6</v>
      </c>
      <c r="C8" s="6"/>
      <c r="D8" s="6">
        <f>584.9</f>
        <v>584.9</v>
      </c>
      <c r="E8" s="17">
        <f>581.89</f>
        <v>581.89</v>
      </c>
      <c r="F8" s="17">
        <v>0</v>
      </c>
      <c r="G8" s="17">
        <f>D8-E8-F8+0.0008</f>
        <v>3.010799999999991</v>
      </c>
      <c r="H8" s="6">
        <f t="shared" si="0"/>
        <v>0.00043885374457044437</v>
      </c>
      <c r="J8" s="7"/>
    </row>
    <row r="9" spans="1:10" ht="15">
      <c r="A9" s="3">
        <v>3</v>
      </c>
      <c r="B9" s="4" t="s">
        <v>12</v>
      </c>
      <c r="C9" s="5" t="s">
        <v>25</v>
      </c>
      <c r="D9" s="5">
        <f>47003-46034</f>
        <v>969</v>
      </c>
      <c r="E9" s="17">
        <f>439.63+84.39</f>
        <v>524.02</v>
      </c>
      <c r="F9" s="17">
        <f>14</f>
        <v>14</v>
      </c>
      <c r="G9" s="17">
        <f>22.2916-0.0002</f>
        <v>22.2914</v>
      </c>
      <c r="H9" s="6">
        <f t="shared" si="0"/>
        <v>0.003249191032854269</v>
      </c>
      <c r="J9" s="7"/>
    </row>
    <row r="10" spans="1:10" ht="15">
      <c r="A10" s="3">
        <v>4</v>
      </c>
      <c r="B10" s="4" t="s">
        <v>7</v>
      </c>
      <c r="C10" s="5"/>
      <c r="D10" s="5">
        <f>D8+D9</f>
        <v>1553.9</v>
      </c>
      <c r="E10" s="17">
        <f>921.94+183.97</f>
        <v>1105.91</v>
      </c>
      <c r="F10" s="17">
        <f>F8+F9</f>
        <v>14</v>
      </c>
      <c r="G10" s="17">
        <v>0</v>
      </c>
      <c r="H10" s="6">
        <f t="shared" si="0"/>
        <v>0</v>
      </c>
      <c r="I10" s="8"/>
      <c r="J10" s="7"/>
    </row>
    <row r="11" spans="1:10" ht="15">
      <c r="A11" s="23">
        <v>5</v>
      </c>
      <c r="B11" s="4" t="s">
        <v>14</v>
      </c>
      <c r="C11" s="5"/>
      <c r="D11" s="6">
        <f>12514-42.79</f>
        <v>12471.21</v>
      </c>
      <c r="E11" s="17">
        <f>12566</f>
        <v>12566</v>
      </c>
      <c r="F11" s="17">
        <v>0</v>
      </c>
      <c r="G11" s="17">
        <f>D11-E11-F11-0.0004</f>
        <v>-94.79040000000087</v>
      </c>
      <c r="H11" s="6">
        <f t="shared" si="0"/>
        <v>-0.013816634113634502</v>
      </c>
      <c r="I11" s="8"/>
      <c r="J11" s="7"/>
    </row>
    <row r="12" spans="1:10" ht="15">
      <c r="A12" s="24"/>
      <c r="B12" s="4" t="s">
        <v>15</v>
      </c>
      <c r="C12" s="5"/>
      <c r="D12" s="6">
        <f>13815-497.41</f>
        <v>13317.59</v>
      </c>
      <c r="E12" s="17">
        <f>10375</f>
        <v>10375</v>
      </c>
      <c r="F12" s="17">
        <v>0</v>
      </c>
      <c r="G12" s="17">
        <f>D12-E12-F12</f>
        <v>2942.59</v>
      </c>
      <c r="H12" s="6">
        <f t="shared" si="0"/>
        <v>0.42891146546949244</v>
      </c>
      <c r="I12" s="8"/>
      <c r="J12" s="7"/>
    </row>
    <row r="13" spans="1:10" ht="15">
      <c r="A13" s="24"/>
      <c r="B13" s="15" t="s">
        <v>8</v>
      </c>
      <c r="C13" s="13"/>
      <c r="D13" s="14">
        <f>SUM(D11:D12)</f>
        <v>25788.8</v>
      </c>
      <c r="E13" s="14">
        <f>SUM(E11:E12)</f>
        <v>22941</v>
      </c>
      <c r="F13" s="14">
        <f>F11+F12</f>
        <v>0</v>
      </c>
      <c r="G13" s="14">
        <f>SUM(G11:G12)</f>
        <v>2847.7995999999994</v>
      </c>
      <c r="H13" s="6">
        <f t="shared" si="0"/>
        <v>0.41509483135585795</v>
      </c>
      <c r="I13" s="8"/>
      <c r="J13" s="7"/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J35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7" sqref="C7"/>
    </sheetView>
  </sheetViews>
  <sheetFormatPr defaultColWidth="9.140625" defaultRowHeight="15"/>
  <cols>
    <col min="1" max="1" width="4.7109375" style="0" customWidth="1"/>
    <col min="2" max="2" width="24.00390625" style="0" customWidth="1"/>
    <col min="3" max="3" width="18.8515625" style="0" customWidth="1"/>
    <col min="4" max="4" width="15.28125" style="0" customWidth="1"/>
    <col min="5" max="5" width="17.00390625" style="0" customWidth="1"/>
    <col min="6" max="6" width="15.7109375" style="0" customWidth="1"/>
    <col min="7" max="7" width="12.7109375" style="0" customWidth="1"/>
    <col min="8" max="8" width="12.00390625" style="0" customWidth="1"/>
    <col min="9" max="9" width="9.57421875" style="0" bestFit="1" customWidth="1"/>
  </cols>
  <sheetData>
    <row r="3" spans="2:3" ht="15.75">
      <c r="B3" s="9" t="s">
        <v>26</v>
      </c>
      <c r="C3" s="9"/>
    </row>
    <row r="4" spans="1:8" ht="15">
      <c r="A4" s="27" t="s">
        <v>5</v>
      </c>
      <c r="B4" s="27"/>
      <c r="C4" s="27"/>
      <c r="D4" s="27"/>
      <c r="E4" s="27"/>
      <c r="F4" s="27"/>
      <c r="G4" s="27"/>
      <c r="H4" s="27"/>
    </row>
    <row r="5" spans="1:8" ht="70.5" customHeight="1">
      <c r="A5" s="28" t="s">
        <v>0</v>
      </c>
      <c r="B5" s="25" t="s">
        <v>1</v>
      </c>
      <c r="C5" s="28" t="s">
        <v>2</v>
      </c>
      <c r="D5" s="28" t="s">
        <v>9</v>
      </c>
      <c r="E5" s="28" t="s">
        <v>10</v>
      </c>
      <c r="F5" s="28" t="s">
        <v>11</v>
      </c>
      <c r="G5" s="28" t="s">
        <v>3</v>
      </c>
      <c r="H5" s="25" t="s">
        <v>4</v>
      </c>
    </row>
    <row r="6" spans="1:8" ht="33.75" customHeight="1">
      <c r="A6" s="29"/>
      <c r="B6" s="26"/>
      <c r="C6" s="29"/>
      <c r="D6" s="29"/>
      <c r="E6" s="29"/>
      <c r="F6" s="29"/>
      <c r="G6" s="29"/>
      <c r="H6" s="26"/>
    </row>
    <row r="7" spans="1:10" ht="15.75">
      <c r="A7" s="11">
        <v>1</v>
      </c>
      <c r="B7" s="12" t="s">
        <v>13</v>
      </c>
      <c r="C7" s="10"/>
      <c r="D7" s="16">
        <f>29.44</f>
        <v>29.44</v>
      </c>
      <c r="E7" s="20">
        <f>19.3479+0.2174-0.0007</f>
        <v>19.564600000000002</v>
      </c>
      <c r="F7" s="16">
        <v>0</v>
      </c>
      <c r="G7" s="17">
        <f>22.2916*0.0311-0.0007</f>
        <v>0.6925687599999999</v>
      </c>
      <c r="H7" s="6">
        <f aca="true" t="shared" si="0" ref="H7:H13">G7/6860.6</f>
        <v>0.00010094871585575603</v>
      </c>
      <c r="J7" s="7"/>
    </row>
    <row r="8" spans="1:10" ht="15">
      <c r="A8" s="3">
        <v>2</v>
      </c>
      <c r="B8" s="4" t="s">
        <v>6</v>
      </c>
      <c r="C8" s="6"/>
      <c r="D8" s="6">
        <f>660.9</f>
        <v>660.9</v>
      </c>
      <c r="E8" s="17">
        <f>622.12+6.99</f>
        <v>629.11</v>
      </c>
      <c r="F8" s="17">
        <v>0</v>
      </c>
      <c r="G8" s="17">
        <f>22.2916-0.0002</f>
        <v>22.2914</v>
      </c>
      <c r="H8" s="6">
        <f t="shared" si="0"/>
        <v>0.003249191032854269</v>
      </c>
      <c r="J8" s="7"/>
    </row>
    <row r="9" spans="1:10" ht="15">
      <c r="A9" s="3">
        <v>3</v>
      </c>
      <c r="B9" s="4" t="s">
        <v>12</v>
      </c>
      <c r="C9" s="5" t="s">
        <v>27</v>
      </c>
      <c r="D9" s="5">
        <f>712</f>
        <v>712</v>
      </c>
      <c r="E9" s="17">
        <f>658.94+110.12</f>
        <v>769.0600000000001</v>
      </c>
      <c r="F9" s="17">
        <f>16</f>
        <v>16</v>
      </c>
      <c r="G9" s="17">
        <f>D9-E9-F9+3.3448</f>
        <v>-69.71520000000005</v>
      </c>
      <c r="H9" s="6">
        <f t="shared" si="0"/>
        <v>-0.010161676821269283</v>
      </c>
      <c r="J9" s="7"/>
    </row>
    <row r="10" spans="1:10" ht="15">
      <c r="A10" s="3">
        <v>4</v>
      </c>
      <c r="B10" s="4" t="s">
        <v>7</v>
      </c>
      <c r="C10" s="5"/>
      <c r="D10" s="5">
        <f>D8+D9</f>
        <v>1372.9</v>
      </c>
      <c r="E10" s="17">
        <f>1307.78+90.39</f>
        <v>1398.17</v>
      </c>
      <c r="F10" s="17">
        <f>F8+F9</f>
        <v>16</v>
      </c>
      <c r="G10" s="17">
        <v>0</v>
      </c>
      <c r="H10" s="6">
        <f t="shared" si="0"/>
        <v>0</v>
      </c>
      <c r="I10" s="8"/>
      <c r="J10" s="7"/>
    </row>
    <row r="11" spans="1:10" ht="15">
      <c r="A11" s="23">
        <v>5</v>
      </c>
      <c r="B11" s="4" t="s">
        <v>14</v>
      </c>
      <c r="C11" s="5"/>
      <c r="D11" s="18">
        <f>12675-12.404+0.004</f>
        <v>12662.6</v>
      </c>
      <c r="E11" s="17">
        <f>12395</f>
        <v>12395</v>
      </c>
      <c r="F11" s="17">
        <v>0</v>
      </c>
      <c r="G11" s="17">
        <f>D11-E11-F11+0.001</f>
        <v>267.60100000000034</v>
      </c>
      <c r="H11" s="6">
        <f t="shared" si="0"/>
        <v>0.03900548057021257</v>
      </c>
      <c r="I11" s="8"/>
      <c r="J11" s="7"/>
    </row>
    <row r="12" spans="1:10" ht="15">
      <c r="A12" s="24"/>
      <c r="B12" s="4" t="s">
        <v>15</v>
      </c>
      <c r="C12" s="5"/>
      <c r="D12" s="18">
        <f>14281-439.73</f>
        <v>13841.27</v>
      </c>
      <c r="E12" s="17">
        <f>11395</f>
        <v>11395</v>
      </c>
      <c r="F12" s="17">
        <v>0</v>
      </c>
      <c r="G12" s="17">
        <f>D12-E12-F12+0.0002</f>
        <v>2446.2702000000004</v>
      </c>
      <c r="H12" s="6">
        <f t="shared" si="0"/>
        <v>0.356567967816226</v>
      </c>
      <c r="I12" s="8"/>
      <c r="J12" s="7"/>
    </row>
    <row r="13" spans="1:10" ht="15">
      <c r="A13" s="24"/>
      <c r="B13" s="15" t="s">
        <v>8</v>
      </c>
      <c r="C13" s="13"/>
      <c r="D13" s="14">
        <f>SUM(D11:D12)</f>
        <v>26503.870000000003</v>
      </c>
      <c r="E13" s="14">
        <f>SUM(E11:E12)</f>
        <v>23790</v>
      </c>
      <c r="F13" s="14">
        <f>F11+F12</f>
        <v>0</v>
      </c>
      <c r="G13" s="14">
        <f>SUM(G11:G12)</f>
        <v>2713.8712000000005</v>
      </c>
      <c r="H13" s="6">
        <f t="shared" si="0"/>
        <v>0.39557344838643854</v>
      </c>
      <c r="I13" s="8"/>
      <c r="J13" s="7"/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J35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3" sqref="A3"/>
    </sheetView>
  </sheetViews>
  <sheetFormatPr defaultColWidth="9.140625" defaultRowHeight="15"/>
  <cols>
    <col min="1" max="1" width="4.7109375" style="0" customWidth="1"/>
    <col min="2" max="2" width="24.00390625" style="0" customWidth="1"/>
    <col min="3" max="3" width="18.8515625" style="0" customWidth="1"/>
    <col min="4" max="4" width="15.28125" style="0" customWidth="1"/>
    <col min="5" max="5" width="17.00390625" style="0" customWidth="1"/>
    <col min="6" max="6" width="15.7109375" style="0" customWidth="1"/>
    <col min="7" max="7" width="12.7109375" style="0" customWidth="1"/>
    <col min="8" max="8" width="12.00390625" style="0" customWidth="1"/>
    <col min="9" max="9" width="9.57421875" style="0" bestFit="1" customWidth="1"/>
  </cols>
  <sheetData>
    <row r="3" spans="2:3" ht="15.75">
      <c r="B3" s="9" t="s">
        <v>28</v>
      </c>
      <c r="C3" s="9"/>
    </row>
    <row r="4" spans="1:8" ht="15">
      <c r="A4" s="27" t="s">
        <v>5</v>
      </c>
      <c r="B4" s="27"/>
      <c r="C4" s="27"/>
      <c r="D4" s="27"/>
      <c r="E4" s="27"/>
      <c r="F4" s="27"/>
      <c r="G4" s="27"/>
      <c r="H4" s="27"/>
    </row>
    <row r="5" spans="1:8" ht="70.5" customHeight="1">
      <c r="A5" s="28" t="s">
        <v>0</v>
      </c>
      <c r="B5" s="25" t="s">
        <v>1</v>
      </c>
      <c r="C5" s="28" t="s">
        <v>2</v>
      </c>
      <c r="D5" s="28" t="s">
        <v>9</v>
      </c>
      <c r="E5" s="28" t="s">
        <v>10</v>
      </c>
      <c r="F5" s="28" t="s">
        <v>11</v>
      </c>
      <c r="G5" s="28" t="s">
        <v>3</v>
      </c>
      <c r="H5" s="25" t="s">
        <v>4</v>
      </c>
    </row>
    <row r="6" spans="1:8" ht="33.75" customHeight="1">
      <c r="A6" s="29"/>
      <c r="B6" s="26"/>
      <c r="C6" s="29"/>
      <c r="D6" s="29"/>
      <c r="E6" s="29"/>
      <c r="F6" s="29"/>
      <c r="G6" s="29"/>
      <c r="H6" s="26"/>
    </row>
    <row r="7" spans="1:10" ht="15.75">
      <c r="A7" s="11">
        <v>1</v>
      </c>
      <c r="B7" s="12" t="s">
        <v>13</v>
      </c>
      <c r="C7" s="10"/>
      <c r="D7" s="16">
        <f>26.38</f>
        <v>26.38</v>
      </c>
      <c r="E7" s="20">
        <f>19.2422+0.0022+0.0008-2.9568</f>
        <v>16.2884</v>
      </c>
      <c r="F7" s="16">
        <v>0</v>
      </c>
      <c r="G7" s="17">
        <f>G8*0.028-0.0013</f>
        <v>0.6228592000000001</v>
      </c>
      <c r="H7" s="6">
        <f aca="true" t="shared" si="0" ref="H7:H13">G7/6860.6</f>
        <v>9.078786112001866E-05</v>
      </c>
      <c r="J7" s="7"/>
    </row>
    <row r="8" spans="1:10" ht="15">
      <c r="A8" s="3">
        <v>2</v>
      </c>
      <c r="B8" s="4" t="s">
        <v>6</v>
      </c>
      <c r="C8" s="6"/>
      <c r="D8" s="6">
        <f>611.7</f>
        <v>611.7</v>
      </c>
      <c r="E8" s="17">
        <f>687.22+0.08-105.6</f>
        <v>581.7</v>
      </c>
      <c r="F8" s="17">
        <v>0</v>
      </c>
      <c r="G8" s="17">
        <f>22.2916-0.0002</f>
        <v>22.2914</v>
      </c>
      <c r="H8" s="6">
        <f t="shared" si="0"/>
        <v>0.003249191032854269</v>
      </c>
      <c r="J8" s="7"/>
    </row>
    <row r="9" spans="1:10" ht="15">
      <c r="A9" s="3">
        <v>3</v>
      </c>
      <c r="B9" s="4" t="s">
        <v>12</v>
      </c>
      <c r="C9" s="5" t="s">
        <v>29</v>
      </c>
      <c r="D9" s="5">
        <f>48338-47715</f>
        <v>623</v>
      </c>
      <c r="E9" s="17">
        <f>470.03+34.25-32.98</f>
        <v>471.29999999999995</v>
      </c>
      <c r="F9" s="17">
        <f>15</f>
        <v>15</v>
      </c>
      <c r="G9" s="17">
        <f>22.2916-0.0002</f>
        <v>22.2914</v>
      </c>
      <c r="H9" s="6">
        <f t="shared" si="0"/>
        <v>0.003249191032854269</v>
      </c>
      <c r="J9" s="7"/>
    </row>
    <row r="10" spans="1:10" ht="15">
      <c r="A10" s="3">
        <v>4</v>
      </c>
      <c r="B10" s="4" t="s">
        <v>7</v>
      </c>
      <c r="C10" s="5"/>
      <c r="D10" s="5">
        <f>D8+D9</f>
        <v>1234.7</v>
      </c>
      <c r="E10" s="17">
        <f>1164.5+27.08-138.58</f>
        <v>1053</v>
      </c>
      <c r="F10" s="17">
        <f>F8+F9</f>
        <v>15</v>
      </c>
      <c r="G10" s="17">
        <v>0</v>
      </c>
      <c r="H10" s="6">
        <f t="shared" si="0"/>
        <v>0</v>
      </c>
      <c r="I10" s="8"/>
      <c r="J10" s="7"/>
    </row>
    <row r="11" spans="1:10" ht="15">
      <c r="A11" s="23">
        <v>5</v>
      </c>
      <c r="B11" s="4" t="s">
        <v>14</v>
      </c>
      <c r="C11" s="5"/>
      <c r="D11" s="18">
        <f>13181-17.366-0.004</f>
        <v>13163.63</v>
      </c>
      <c r="E11" s="17">
        <f>8449-2310</f>
        <v>6139</v>
      </c>
      <c r="F11" s="17">
        <v>0</v>
      </c>
      <c r="G11" s="17">
        <f>5321.06-0.0002</f>
        <v>5321.0598</v>
      </c>
      <c r="H11" s="6">
        <f t="shared" si="0"/>
        <v>0.7755968574177186</v>
      </c>
      <c r="I11" s="8"/>
      <c r="J11" s="7"/>
    </row>
    <row r="12" spans="1:10" ht="15">
      <c r="A12" s="24"/>
      <c r="B12" s="4" t="s">
        <v>15</v>
      </c>
      <c r="C12" s="5"/>
      <c r="D12" s="18">
        <f>12346-462.058-0.002</f>
        <v>11883.939999999999</v>
      </c>
      <c r="E12" s="17">
        <f>12359</f>
        <v>12359</v>
      </c>
      <c r="F12" s="17">
        <v>0</v>
      </c>
      <c r="G12" s="17">
        <f>D12-E12-F12+0.0003</f>
        <v>-475.0597000000013</v>
      </c>
      <c r="H12" s="6">
        <f t="shared" si="0"/>
        <v>-0.06924462874967223</v>
      </c>
      <c r="I12" s="8"/>
      <c r="J12" s="7"/>
    </row>
    <row r="13" spans="1:10" ht="15">
      <c r="A13" s="24"/>
      <c r="B13" s="15" t="s">
        <v>8</v>
      </c>
      <c r="C13" s="13"/>
      <c r="D13" s="14">
        <f>SUM(D11:D12)</f>
        <v>25047.57</v>
      </c>
      <c r="E13" s="14">
        <f>SUM(E11:E12)</f>
        <v>18498</v>
      </c>
      <c r="F13" s="14">
        <f>F11+F12</f>
        <v>0</v>
      </c>
      <c r="G13" s="14">
        <f>SUM(G11:G12)</f>
        <v>4846.000099999998</v>
      </c>
      <c r="H13" s="6">
        <f t="shared" si="0"/>
        <v>0.7063522286680463</v>
      </c>
      <c r="I13" s="8"/>
      <c r="J13" s="7"/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J35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E19" sqref="E19"/>
    </sheetView>
  </sheetViews>
  <sheetFormatPr defaultColWidth="9.140625" defaultRowHeight="15"/>
  <cols>
    <col min="1" max="1" width="4.7109375" style="0" customWidth="1"/>
    <col min="2" max="2" width="24.00390625" style="0" customWidth="1"/>
    <col min="3" max="3" width="18.8515625" style="0" customWidth="1"/>
    <col min="4" max="4" width="15.28125" style="0" customWidth="1"/>
    <col min="5" max="5" width="17.00390625" style="0" customWidth="1"/>
    <col min="6" max="6" width="15.7109375" style="0" customWidth="1"/>
    <col min="7" max="7" width="12.7109375" style="0" customWidth="1"/>
    <col min="8" max="8" width="12.00390625" style="0" customWidth="1"/>
    <col min="9" max="9" width="9.57421875" style="0" bestFit="1" customWidth="1"/>
  </cols>
  <sheetData>
    <row r="3" spans="2:3" ht="15.75">
      <c r="B3" s="9" t="s">
        <v>30</v>
      </c>
      <c r="C3" s="9"/>
    </row>
    <row r="4" spans="1:8" ht="15">
      <c r="A4" s="27" t="s">
        <v>5</v>
      </c>
      <c r="B4" s="27"/>
      <c r="C4" s="27"/>
      <c r="D4" s="27"/>
      <c r="E4" s="27"/>
      <c r="F4" s="27"/>
      <c r="G4" s="27"/>
      <c r="H4" s="27"/>
    </row>
    <row r="5" spans="1:8" ht="70.5" customHeight="1">
      <c r="A5" s="28" t="s">
        <v>0</v>
      </c>
      <c r="B5" s="25" t="s">
        <v>1</v>
      </c>
      <c r="C5" s="28" t="s">
        <v>2</v>
      </c>
      <c r="D5" s="28" t="s">
        <v>9</v>
      </c>
      <c r="E5" s="28" t="s">
        <v>10</v>
      </c>
      <c r="F5" s="28" t="s">
        <v>11</v>
      </c>
      <c r="G5" s="28" t="s">
        <v>3</v>
      </c>
      <c r="H5" s="25" t="s">
        <v>4</v>
      </c>
    </row>
    <row r="6" spans="1:8" ht="33.75" customHeight="1">
      <c r="A6" s="29"/>
      <c r="B6" s="26"/>
      <c r="C6" s="29"/>
      <c r="D6" s="29"/>
      <c r="E6" s="29"/>
      <c r="F6" s="29"/>
      <c r="G6" s="29"/>
      <c r="H6" s="26"/>
    </row>
    <row r="7" spans="1:10" ht="15.75">
      <c r="A7" s="11">
        <v>1</v>
      </c>
      <c r="B7" s="12" t="s">
        <v>13</v>
      </c>
      <c r="C7" s="10"/>
      <c r="D7" s="16">
        <f>25.28</f>
        <v>25.28</v>
      </c>
      <c r="E7" s="20">
        <f>15.9641-2.92448+0.6977+0.001</f>
        <v>13.738319999999998</v>
      </c>
      <c r="F7" s="16">
        <v>0</v>
      </c>
      <c r="G7" s="17">
        <f>G8*0.0247+0.0007</f>
        <v>0.64706689</v>
      </c>
      <c r="H7" s="6">
        <f aca="true" t="shared" si="0" ref="H7:H13">G7/6860.6</f>
        <v>9.431637028831296E-05</v>
      </c>
      <c r="J7" s="7"/>
    </row>
    <row r="8" spans="1:10" ht="15">
      <c r="A8" s="3">
        <v>2</v>
      </c>
      <c r="B8" s="4" t="s">
        <v>6</v>
      </c>
      <c r="C8" s="6"/>
      <c r="D8" s="6">
        <f>596.8</f>
        <v>596.8</v>
      </c>
      <c r="E8" s="17">
        <f>646.32-118.4+28.25</f>
        <v>556.1700000000001</v>
      </c>
      <c r="F8" s="17">
        <v>0</v>
      </c>
      <c r="G8" s="17">
        <f>26.1684+0.0003</f>
        <v>26.168699999999998</v>
      </c>
      <c r="H8" s="6">
        <f t="shared" si="0"/>
        <v>0.003814345684050957</v>
      </c>
      <c r="J8" s="7"/>
    </row>
    <row r="9" spans="1:10" ht="15">
      <c r="A9" s="3">
        <v>3</v>
      </c>
      <c r="B9" s="4" t="s">
        <v>12</v>
      </c>
      <c r="C9" s="5" t="s">
        <v>31</v>
      </c>
      <c r="D9" s="5">
        <f>49268-48338</f>
        <v>930</v>
      </c>
      <c r="E9" s="17">
        <f>674.22-48.5+29.02</f>
        <v>654.74</v>
      </c>
      <c r="F9" s="17">
        <v>24</v>
      </c>
      <c r="G9" s="17">
        <f>26.1684+0.0003</f>
        <v>26.168699999999998</v>
      </c>
      <c r="H9" s="6">
        <f t="shared" si="0"/>
        <v>0.003814345684050957</v>
      </c>
      <c r="J9" s="7"/>
    </row>
    <row r="10" spans="1:10" ht="15">
      <c r="A10" s="3">
        <v>4</v>
      </c>
      <c r="B10" s="4" t="s">
        <v>7</v>
      </c>
      <c r="C10" s="5"/>
      <c r="D10" s="5">
        <f>D8+D9</f>
        <v>1526.8</v>
      </c>
      <c r="E10" s="17">
        <f>1353.66-166.9+24.15</f>
        <v>1210.91</v>
      </c>
      <c r="F10" s="17">
        <f>F8+F9</f>
        <v>24</v>
      </c>
      <c r="G10" s="17">
        <v>0</v>
      </c>
      <c r="H10" s="6">
        <f t="shared" si="0"/>
        <v>0</v>
      </c>
      <c r="I10" s="8"/>
      <c r="J10" s="7"/>
    </row>
    <row r="11" spans="1:10" ht="15">
      <c r="A11" s="23">
        <v>5</v>
      </c>
      <c r="B11" s="4" t="s">
        <v>14</v>
      </c>
      <c r="C11" s="5"/>
      <c r="D11" s="18">
        <f>14143-44.035+0.005</f>
        <v>14098.97</v>
      </c>
      <c r="E11" s="17">
        <f>10569</f>
        <v>10569</v>
      </c>
      <c r="F11" s="17">
        <v>0</v>
      </c>
      <c r="G11" s="17">
        <f>D11-E11-F11-0.0004</f>
        <v>3529.9695999999994</v>
      </c>
      <c r="H11" s="6">
        <f t="shared" si="0"/>
        <v>0.5145278255546161</v>
      </c>
      <c r="I11" s="8"/>
      <c r="J11" s="7"/>
    </row>
    <row r="12" spans="1:10" ht="15">
      <c r="A12" s="24"/>
      <c r="B12" s="4" t="s">
        <v>15</v>
      </c>
      <c r="C12" s="5"/>
      <c r="D12" s="18">
        <f>11004</f>
        <v>11004</v>
      </c>
      <c r="E12" s="17">
        <f>10137</f>
        <v>10137</v>
      </c>
      <c r="F12" s="17">
        <v>0</v>
      </c>
      <c r="G12" s="17">
        <f>D12-E12-F12-0.0007</f>
        <v>866.9993</v>
      </c>
      <c r="H12" s="6">
        <f t="shared" si="0"/>
        <v>0.12637368451738915</v>
      </c>
      <c r="I12" s="8"/>
      <c r="J12" s="7"/>
    </row>
    <row r="13" spans="1:10" ht="15">
      <c r="A13" s="24"/>
      <c r="B13" s="15" t="s">
        <v>8</v>
      </c>
      <c r="C13" s="13"/>
      <c r="D13" s="14">
        <f>SUM(D11:D12)</f>
        <v>25102.97</v>
      </c>
      <c r="E13" s="14">
        <f>SUM(E11:E12)</f>
        <v>20706</v>
      </c>
      <c r="F13" s="14">
        <f>F11+F12</f>
        <v>0</v>
      </c>
      <c r="G13" s="14">
        <f>SUM(G11:G12)</f>
        <v>4396.9689</v>
      </c>
      <c r="H13" s="6">
        <f t="shared" si="0"/>
        <v>0.6409015100720054</v>
      </c>
      <c r="I13" s="8"/>
      <c r="J13" s="7"/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3:J35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3" sqref="A3"/>
    </sheetView>
  </sheetViews>
  <sheetFormatPr defaultColWidth="9.140625" defaultRowHeight="15"/>
  <cols>
    <col min="1" max="1" width="4.7109375" style="0" customWidth="1"/>
    <col min="2" max="2" width="24.00390625" style="0" customWidth="1"/>
    <col min="3" max="3" width="18.8515625" style="0" customWidth="1"/>
    <col min="4" max="4" width="15.28125" style="0" customWidth="1"/>
    <col min="5" max="5" width="17.00390625" style="0" customWidth="1"/>
    <col min="6" max="6" width="15.7109375" style="0" customWidth="1"/>
    <col min="7" max="7" width="12.7109375" style="0" customWidth="1"/>
    <col min="8" max="8" width="12.00390625" style="0" customWidth="1"/>
    <col min="9" max="9" width="9.57421875" style="0" bestFit="1" customWidth="1"/>
  </cols>
  <sheetData>
    <row r="3" spans="2:3" ht="15.75">
      <c r="B3" s="9" t="s">
        <v>32</v>
      </c>
      <c r="C3" s="9"/>
    </row>
    <row r="4" spans="1:8" ht="15">
      <c r="A4" s="27" t="s">
        <v>5</v>
      </c>
      <c r="B4" s="27"/>
      <c r="C4" s="27"/>
      <c r="D4" s="27"/>
      <c r="E4" s="27"/>
      <c r="F4" s="27"/>
      <c r="G4" s="27"/>
      <c r="H4" s="27"/>
    </row>
    <row r="5" spans="1:8" ht="70.5" customHeight="1">
      <c r="A5" s="28" t="s">
        <v>0</v>
      </c>
      <c r="B5" s="25" t="s">
        <v>1</v>
      </c>
      <c r="C5" s="28" t="s">
        <v>2</v>
      </c>
      <c r="D5" s="28" t="s">
        <v>9</v>
      </c>
      <c r="E5" s="28" t="s">
        <v>10</v>
      </c>
      <c r="F5" s="28" t="s">
        <v>11</v>
      </c>
      <c r="G5" s="28" t="s">
        <v>3</v>
      </c>
      <c r="H5" s="25" t="s">
        <v>4</v>
      </c>
    </row>
    <row r="6" spans="1:8" ht="33.75" customHeight="1">
      <c r="A6" s="29"/>
      <c r="B6" s="26"/>
      <c r="C6" s="29"/>
      <c r="D6" s="29"/>
      <c r="E6" s="29"/>
      <c r="F6" s="29"/>
      <c r="G6" s="29"/>
      <c r="H6" s="26"/>
    </row>
    <row r="7" spans="1:10" ht="15.75">
      <c r="A7" s="11">
        <v>1</v>
      </c>
      <c r="B7" s="12" t="s">
        <v>13</v>
      </c>
      <c r="C7" s="10"/>
      <c r="D7" s="16">
        <f>31.95</f>
        <v>31.95</v>
      </c>
      <c r="E7" s="20">
        <f>0.7955-0.227292+23.125+1.6263+0.0002</f>
        <v>25.319708</v>
      </c>
      <c r="F7" s="16">
        <v>0</v>
      </c>
      <c r="G7" s="17">
        <f>26.1684*0.0354-0.0009</f>
        <v>0.9254613599999999</v>
      </c>
      <c r="H7" s="6">
        <f aca="true" t="shared" si="0" ref="H7:H13">G7/6860.6</f>
        <v>0.0001348951053843687</v>
      </c>
      <c r="J7" s="7"/>
    </row>
    <row r="8" spans="1:10" ht="15">
      <c r="A8" s="3">
        <v>2</v>
      </c>
      <c r="B8" s="4" t="s">
        <v>6</v>
      </c>
      <c r="C8" s="6"/>
      <c r="D8" s="6">
        <f>726</f>
        <v>726</v>
      </c>
      <c r="E8" s="17">
        <f>22.44-6.4+653.25+45.94</f>
        <v>715.23</v>
      </c>
      <c r="F8" s="17">
        <v>0</v>
      </c>
      <c r="G8" s="17">
        <f>D8-E8-F8-0.0008</f>
        <v>10.769199999999982</v>
      </c>
      <c r="H8" s="6">
        <f t="shared" si="0"/>
        <v>0.0015697169343789146</v>
      </c>
      <c r="J8" s="7"/>
    </row>
    <row r="9" spans="1:10" ht="15">
      <c r="A9" s="3">
        <v>3</v>
      </c>
      <c r="B9" s="4" t="s">
        <v>12</v>
      </c>
      <c r="C9" s="5" t="s">
        <v>33</v>
      </c>
      <c r="D9" s="5">
        <f>50069-49268</f>
        <v>801</v>
      </c>
      <c r="E9" s="17">
        <f>568.62+405.51</f>
        <v>974.13</v>
      </c>
      <c r="F9" s="17">
        <f>22</f>
        <v>22</v>
      </c>
      <c r="G9" s="17">
        <f>D9-E9-F9+28.6302</f>
        <v>-166.4998</v>
      </c>
      <c r="H9" s="6">
        <f t="shared" si="0"/>
        <v>-0.024268985219951605</v>
      </c>
      <c r="J9" s="7"/>
    </row>
    <row r="10" spans="1:10" ht="15">
      <c r="A10" s="3">
        <v>4</v>
      </c>
      <c r="B10" s="4" t="s">
        <v>7</v>
      </c>
      <c r="C10" s="5"/>
      <c r="D10" s="5">
        <f>D8+D9</f>
        <v>1527</v>
      </c>
      <c r="E10" s="17">
        <f>1223.67+422.49+49.6-6.4</f>
        <v>1689.36</v>
      </c>
      <c r="F10" s="17">
        <f>F8+F9</f>
        <v>22</v>
      </c>
      <c r="G10" s="17">
        <v>0</v>
      </c>
      <c r="H10" s="6">
        <f t="shared" si="0"/>
        <v>0</v>
      </c>
      <c r="I10" s="8"/>
      <c r="J10" s="7"/>
    </row>
    <row r="11" spans="1:10" ht="15">
      <c r="A11" s="23">
        <v>5</v>
      </c>
      <c r="B11" s="4" t="s">
        <v>14</v>
      </c>
      <c r="C11" s="5"/>
      <c r="D11" s="18">
        <f>18396-125.28</f>
        <v>18270.72</v>
      </c>
      <c r="E11" s="17">
        <f>15130</f>
        <v>15130</v>
      </c>
      <c r="F11" s="17">
        <v>0</v>
      </c>
      <c r="G11" s="17">
        <f>D11-E11-F11-0.0005</f>
        <v>3140.719500000001</v>
      </c>
      <c r="H11" s="6">
        <f t="shared" si="0"/>
        <v>0.45779079089292496</v>
      </c>
      <c r="I11" s="8"/>
      <c r="J11" s="7"/>
    </row>
    <row r="12" spans="1:10" ht="15">
      <c r="A12" s="24"/>
      <c r="B12" s="4" t="s">
        <v>15</v>
      </c>
      <c r="C12" s="5"/>
      <c r="D12" s="18">
        <f>15416</f>
        <v>15416</v>
      </c>
      <c r="E12" s="17">
        <f>14764</f>
        <v>14764</v>
      </c>
      <c r="F12" s="17">
        <v>0</v>
      </c>
      <c r="G12" s="17">
        <f>D12-E12-F12-0.0004</f>
        <v>651.9996</v>
      </c>
      <c r="H12" s="6">
        <f t="shared" si="0"/>
        <v>0.09503536133865842</v>
      </c>
      <c r="I12" s="8"/>
      <c r="J12" s="7"/>
    </row>
    <row r="13" spans="1:10" ht="15">
      <c r="A13" s="24"/>
      <c r="B13" s="15" t="s">
        <v>8</v>
      </c>
      <c r="C13" s="13"/>
      <c r="D13" s="14">
        <f>SUM(D11:D12)</f>
        <v>33686.72</v>
      </c>
      <c r="E13" s="14">
        <f>SUM(E11:E12)</f>
        <v>29894</v>
      </c>
      <c r="F13" s="14">
        <f>F11+F12</f>
        <v>0</v>
      </c>
      <c r="G13" s="14">
        <f>SUM(G11:G12)</f>
        <v>3792.719100000001</v>
      </c>
      <c r="H13" s="6">
        <f t="shared" si="0"/>
        <v>0.5528261522315834</v>
      </c>
      <c r="I13" s="8"/>
      <c r="J13" s="7"/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2012-12-03T10:41:47Z</cp:lastPrinted>
  <dcterms:created xsi:type="dcterms:W3CDTF">2006-09-16T00:00:00Z</dcterms:created>
  <dcterms:modified xsi:type="dcterms:W3CDTF">2017-01-31T12:03:34Z</dcterms:modified>
  <cp:category/>
  <cp:version/>
  <cp:contentType/>
  <cp:contentStatus/>
</cp:coreProperties>
</file>