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3.2 (январь)  " sheetId="1" r:id="rId1"/>
    <sheet name="63.2 (февраль)" sheetId="2" r:id="rId2"/>
    <sheet name="63.2 (март)" sheetId="3" r:id="rId3"/>
    <sheet name="63.2 (апрель)" sheetId="4" r:id="rId4"/>
    <sheet name="63.2 (май)" sheetId="5" r:id="rId5"/>
    <sheet name="63.2 (июнь)" sheetId="6" r:id="rId6"/>
    <sheet name="63.2 (июль)" sheetId="7" r:id="rId7"/>
    <sheet name="63.2 (август)" sheetId="8" r:id="rId8"/>
    <sheet name="63.2 (сентябрь)" sheetId="9" r:id="rId9"/>
    <sheet name="63.2 (октябрь)" sheetId="10" r:id="rId10"/>
    <sheet name="63.2 (ноябрь)" sheetId="11" r:id="rId11"/>
    <sheet name="63.2 (декабрь)" sheetId="12" r:id="rId12"/>
  </sheets>
  <definedNames/>
  <calcPr fullCalcOnLoad="1"/>
</workbook>
</file>

<file path=xl/sharedStrings.xml><?xml version="1.0" encoding="utf-8"?>
<sst xmlns="http://schemas.openxmlformats.org/spreadsheetml/2006/main" count="300" uniqueCount="50">
  <si>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</si>
  <si>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</si>
  <si>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</si>
  <si>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</si>
  <si>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</si>
  <si>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</si>
  <si>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</si>
  <si>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</si>
  <si>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63-2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</si>
  <si>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</si>
  <si>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</si>
  <si>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</si>
  <si>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</si>
  <si>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</si>
  <si>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</si>
  <si>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сч.672137</t>
  </si>
  <si>
    <t>эл.эн.ночь № сч.672137</t>
  </si>
  <si>
    <t>эл.эн.день № сч.684335</t>
  </si>
  <si>
    <t>эл.эн.ночь № сч.684335</t>
  </si>
  <si>
    <t>ХВС (тонн)</t>
  </si>
  <si>
    <t>день эл.эн.</t>
  </si>
  <si>
    <t>ночь эл.эн.</t>
  </si>
  <si>
    <t>нагрев воды (Г.кал.)</t>
  </si>
  <si>
    <t>Объем коммунальных услуг по показаниям общедомовых приборов учета (ОДН) за январь в феврале 2014г.</t>
  </si>
  <si>
    <t>47906,/48849</t>
  </si>
  <si>
    <t>Объем коммунальных услуг по показаниям общедомовых приборов учета (ОДН) за февраль в марте 2014г.</t>
  </si>
  <si>
    <t>48849,/49985</t>
  </si>
  <si>
    <t>Объем коммунальных услуг по показаниям общедомовых приборов учета (ОДН) за март в апреле 2014г.</t>
  </si>
  <si>
    <t>49985,/51017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</si>
  <si>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</si>
  <si>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</si>
  <si>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</si>
  <si>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51017,/52183</t>
  </si>
  <si>
    <t>водоотведение(м3)</t>
  </si>
  <si>
    <t>Объем коммунальных услуг по показаниям общедомовых приборов учета (ОДН) за май в июне 2014г.</t>
  </si>
  <si>
    <t>52183,/53309</t>
  </si>
  <si>
    <t>Объем коммунальных услуг по показаниям общедомовых приборов учета (ОДН) за июнь в июле 2014г.</t>
  </si>
  <si>
    <t>53309,/54094</t>
  </si>
  <si>
    <t>Объем коммунальных услуг по показаниям общедомовых приборов учета (ОДН) за июль в августе 2014г.</t>
  </si>
  <si>
    <t>54094,/54857</t>
  </si>
  <si>
    <t>Объем коммунальных услуг по показаниям общедомовых приборов учета (ОДН) за август в сентябре 2014г.</t>
  </si>
  <si>
    <t>54857,/55688</t>
  </si>
  <si>
    <t>Объем коммунальных услуг по показаниям общедомовых приборов учета (ОДН) за сентябрь в октябре 2014г.</t>
  </si>
  <si>
    <t>55688,/56403</t>
  </si>
  <si>
    <t>Объем коммунальных услуг по показаниям общедомовых приборов учета (ОДН) за октябрь в ноябре 2014г.</t>
  </si>
  <si>
    <t>56403,/57245</t>
  </si>
  <si>
    <t>Объем коммунальных услуг по показаниям общедомовых приборов учета (ОДН) за ноябрь в декабре 2014г.</t>
  </si>
  <si>
    <t>57245,/58152</t>
  </si>
  <si>
    <t>Объем коммунальных услуг по показаниям общедомовых приборов учета (ОДН) за декабрь в январе 2015г.</t>
  </si>
  <si>
    <t>58152,/59249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</si>
</sst>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0"/>
    <numFmt numFmtId="168" formatCode="#,##0.0000"/>
    <numFmt numFmtId="169" formatCode="#,##0.00000"/>
    <numFmt numFmtId="170" formatCode="#,##0.000000"/>
    <numFmt numFmtId="171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0" sqref="B9:B10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23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34.32+0.13+0.07+0.04+50.8</f>
        <v>85.36</v>
      </c>
      <c r="G7" s="20">
        <f>G8*0.0478</f>
        <v>38.418054999999995</v>
      </c>
      <c r="H7" s="20">
        <f>0.13+0.07+0.04</f>
        <v>0.24000000000000002</v>
      </c>
      <c r="I7" s="20">
        <f>32.8049*0.0478</f>
        <v>1.5680742200000002</v>
      </c>
      <c r="J7" s="7">
        <f aca="true" t="shared" si="0" ref="J7:J17">I7/9595.2</f>
        <v>0.000163422775971319</v>
      </c>
      <c r="L7" s="11"/>
    </row>
    <row r="8" spans="1:12" ht="15">
      <c r="A8" s="3">
        <v>2</v>
      </c>
      <c r="B8" s="4" t="s">
        <v>9</v>
      </c>
      <c r="C8" s="7"/>
      <c r="D8" s="5"/>
      <c r="E8" s="5"/>
      <c r="F8" s="7">
        <f>325.55+1.03+0.68+0.34+481.8</f>
        <v>809.4</v>
      </c>
      <c r="G8" s="6">
        <f>563.405+233.02+7.3</f>
        <v>803.7249999999999</v>
      </c>
      <c r="H8" s="6">
        <f>1.03+0.68+0.34</f>
        <v>2.05</v>
      </c>
      <c r="I8" s="6">
        <f>F8-G8-H8</f>
        <v>3.6250000000000684</v>
      </c>
      <c r="J8" s="7">
        <f t="shared" si="0"/>
        <v>0.0003777930631982729</v>
      </c>
      <c r="L8" s="11"/>
    </row>
    <row r="9" spans="1:12" ht="15">
      <c r="A9" s="3">
        <v>3</v>
      </c>
      <c r="B9" s="4" t="s">
        <v>19</v>
      </c>
      <c r="C9" s="6" t="s">
        <v>24</v>
      </c>
      <c r="D9" s="5"/>
      <c r="E9" s="5"/>
      <c r="F9" s="6">
        <f>943</f>
        <v>943</v>
      </c>
      <c r="G9" s="6">
        <f>657.175+298.09+23.88</f>
        <v>979.1449999999999</v>
      </c>
      <c r="H9" s="6">
        <f>31</f>
        <v>31</v>
      </c>
      <c r="I9" s="6">
        <f>F9-G9-H9</f>
        <v>-67.14499999999987</v>
      </c>
      <c r="J9" s="7">
        <f t="shared" si="0"/>
        <v>-0.006997769718192415</v>
      </c>
      <c r="L9" s="11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1752.4</v>
      </c>
      <c r="G10" s="6">
        <f>1200.53+541.73+10.74+29.87</f>
        <v>1782.87</v>
      </c>
      <c r="H10" s="6">
        <f>H8+H9</f>
        <v>33.05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14818</v>
      </c>
      <c r="E11" s="8">
        <v>14980</v>
      </c>
      <c r="F11" s="7">
        <f>(E11-D11)*10</f>
        <v>1620</v>
      </c>
      <c r="G11" s="6">
        <v>0</v>
      </c>
      <c r="H11" s="6">
        <v>0</v>
      </c>
      <c r="I11" s="6">
        <f>F11-G11-H11</f>
        <v>1620</v>
      </c>
      <c r="J11" s="7">
        <f t="shared" si="0"/>
        <v>0.1688344172086043</v>
      </c>
    </row>
    <row r="12" spans="1:10" ht="15">
      <c r="A12" s="32"/>
      <c r="B12" s="4" t="s">
        <v>16</v>
      </c>
      <c r="C12" s="6"/>
      <c r="D12" s="8">
        <v>14210</v>
      </c>
      <c r="E12" s="8">
        <v>14402</v>
      </c>
      <c r="F12" s="7">
        <f>(E12-D12)*10</f>
        <v>1920</v>
      </c>
      <c r="G12" s="6">
        <v>0</v>
      </c>
      <c r="H12" s="6">
        <v>0</v>
      </c>
      <c r="I12" s="6">
        <f>F12-G12-H12</f>
        <v>1920</v>
      </c>
      <c r="J12" s="7">
        <f t="shared" si="0"/>
        <v>0.2001000500250125</v>
      </c>
    </row>
    <row r="13" spans="1:10" ht="15">
      <c r="A13" s="32"/>
      <c r="B13" s="4" t="s">
        <v>17</v>
      </c>
      <c r="C13" s="6"/>
      <c r="D13" s="8">
        <v>18527</v>
      </c>
      <c r="E13" s="8">
        <v>18690</v>
      </c>
      <c r="F13" s="7">
        <f>(E13-D13)*6</f>
        <v>978</v>
      </c>
      <c r="G13" s="6">
        <v>0</v>
      </c>
      <c r="H13" s="6">
        <v>0</v>
      </c>
      <c r="I13" s="6">
        <f>F13-G13-H13</f>
        <v>978</v>
      </c>
      <c r="J13" s="7">
        <f t="shared" si="0"/>
        <v>0.10192596298149073</v>
      </c>
    </row>
    <row r="14" spans="1:10" ht="15">
      <c r="A14" s="32"/>
      <c r="B14" s="4" t="s">
        <v>18</v>
      </c>
      <c r="C14" s="6"/>
      <c r="D14" s="8">
        <v>24392</v>
      </c>
      <c r="E14" s="8">
        <v>24617</v>
      </c>
      <c r="F14" s="7">
        <f>(E14-D14)*6</f>
        <v>1350</v>
      </c>
      <c r="G14" s="6">
        <v>0</v>
      </c>
      <c r="H14" s="6">
        <v>0</v>
      </c>
      <c r="I14" s="6">
        <f>F14-G14-H14</f>
        <v>1350</v>
      </c>
      <c r="J14" s="7">
        <f t="shared" si="0"/>
        <v>0.1406953476738369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5868</v>
      </c>
      <c r="G15" s="22">
        <f>SUM(G11:G14)</f>
        <v>0</v>
      </c>
      <c r="H15" s="22">
        <f>SUM(H11:H14)</f>
        <v>0</v>
      </c>
      <c r="I15" s="22">
        <f>SUM(I11:I14)</f>
        <v>5868</v>
      </c>
      <c r="J15" s="7">
        <f t="shared" si="0"/>
        <v>0.6115557778889444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2598</v>
      </c>
      <c r="G16" s="23">
        <f t="shared" si="1"/>
        <v>0</v>
      </c>
      <c r="H16" s="23">
        <f t="shared" si="1"/>
        <v>0</v>
      </c>
      <c r="I16" s="23">
        <f t="shared" si="1"/>
        <v>2598</v>
      </c>
      <c r="J16" s="7">
        <f t="shared" si="0"/>
        <v>0.270760380190095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3270</v>
      </c>
      <c r="G17" s="10">
        <f t="shared" si="1"/>
        <v>0</v>
      </c>
      <c r="H17" s="10">
        <f t="shared" si="1"/>
        <v>0</v>
      </c>
      <c r="I17" s="10">
        <f t="shared" si="1"/>
        <v>3270</v>
      </c>
      <c r="J17" s="7">
        <f t="shared" si="0"/>
        <v>0.3407953976988494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9" sqref="C9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44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v>76.95</v>
      </c>
      <c r="G7" s="20">
        <v>40.251103740000005</v>
      </c>
      <c r="H7" s="20">
        <v>0.27999999999999997</v>
      </c>
      <c r="I7" s="6">
        <v>1.5680742200000002</v>
      </c>
      <c r="J7" s="7">
        <v>0.00016347218289669842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v>806.9999999999999</v>
      </c>
      <c r="G8" s="6">
        <v>842.0733</v>
      </c>
      <c r="H8" s="6">
        <v>2.9299999999999997</v>
      </c>
      <c r="I8" s="6">
        <v>-38.00330000000013</v>
      </c>
      <c r="J8" s="7">
        <v>-0.0039618548210544014</v>
      </c>
      <c r="L8" s="11"/>
    </row>
    <row r="9" spans="1:12" ht="15">
      <c r="A9" s="3">
        <v>3</v>
      </c>
      <c r="B9" s="4" t="s">
        <v>31</v>
      </c>
      <c r="C9" s="6" t="s">
        <v>45</v>
      </c>
      <c r="D9" s="5"/>
      <c r="E9" s="5"/>
      <c r="F9" s="6">
        <v>842</v>
      </c>
      <c r="G9" s="6">
        <v>993.183</v>
      </c>
      <c r="H9" s="6">
        <v>74</v>
      </c>
      <c r="I9" s="6">
        <v>-225.183</v>
      </c>
      <c r="J9" s="7">
        <v>-0.02347539172044244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v>1649</v>
      </c>
      <c r="G10" s="6">
        <v>1835.2567000000001</v>
      </c>
      <c r="H10" s="6">
        <v>76.93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8">
        <v>15751</v>
      </c>
      <c r="E11" s="8">
        <v>15859</v>
      </c>
      <c r="F11" s="7">
        <v>1080</v>
      </c>
      <c r="G11" s="6">
        <v>0</v>
      </c>
      <c r="H11" s="6">
        <v>0</v>
      </c>
      <c r="I11" s="6">
        <v>1080</v>
      </c>
      <c r="J11" s="7">
        <v>0.11259030680858606</v>
      </c>
    </row>
    <row r="12" spans="1:10" ht="15">
      <c r="A12" s="32"/>
      <c r="B12" s="4" t="s">
        <v>16</v>
      </c>
      <c r="C12" s="6"/>
      <c r="D12" s="8">
        <v>15429</v>
      </c>
      <c r="E12" s="8">
        <v>15587</v>
      </c>
      <c r="F12" s="7">
        <v>1580</v>
      </c>
      <c r="G12" s="6">
        <v>0</v>
      </c>
      <c r="H12" s="6">
        <v>0</v>
      </c>
      <c r="I12" s="6">
        <v>1580</v>
      </c>
      <c r="J12" s="7">
        <v>0.16471544884959813</v>
      </c>
    </row>
    <row r="13" spans="1:10" ht="15">
      <c r="A13" s="32"/>
      <c r="B13" s="4" t="s">
        <v>17</v>
      </c>
      <c r="C13" s="6"/>
      <c r="D13" s="8">
        <v>19418</v>
      </c>
      <c r="E13" s="8">
        <v>19511</v>
      </c>
      <c r="F13" s="7">
        <v>558</v>
      </c>
      <c r="G13" s="6">
        <v>0</v>
      </c>
      <c r="H13" s="6">
        <v>0</v>
      </c>
      <c r="I13" s="6">
        <v>558</v>
      </c>
      <c r="J13" s="7">
        <v>0.05817165851776947</v>
      </c>
    </row>
    <row r="14" spans="1:10" ht="15">
      <c r="A14" s="32"/>
      <c r="B14" s="4" t="s">
        <v>18</v>
      </c>
      <c r="C14" s="6"/>
      <c r="D14" s="8">
        <v>25732</v>
      </c>
      <c r="E14" s="8">
        <v>25873</v>
      </c>
      <c r="F14" s="7">
        <v>846</v>
      </c>
      <c r="G14" s="6">
        <v>0</v>
      </c>
      <c r="H14" s="6">
        <v>0</v>
      </c>
      <c r="I14" s="6">
        <v>846</v>
      </c>
      <c r="J14" s="7">
        <v>0.08819574033339242</v>
      </c>
    </row>
    <row r="15" spans="1:12" ht="15">
      <c r="A15" s="34"/>
      <c r="B15" s="21" t="s">
        <v>14</v>
      </c>
      <c r="C15" s="21"/>
      <c r="D15" s="9"/>
      <c r="E15" s="21"/>
      <c r="F15" s="22">
        <v>4064</v>
      </c>
      <c r="G15" s="22">
        <v>0</v>
      </c>
      <c r="H15" s="22">
        <v>0</v>
      </c>
      <c r="I15" s="22">
        <v>4064</v>
      </c>
      <c r="J15" s="7">
        <v>0.42367315450934606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v>1638</v>
      </c>
      <c r="G16" s="23">
        <v>0</v>
      </c>
      <c r="H16" s="23">
        <v>0</v>
      </c>
      <c r="I16" s="23">
        <v>1638</v>
      </c>
      <c r="J16" s="7">
        <v>0.1707619653263555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v>2426</v>
      </c>
      <c r="G17" s="10">
        <v>0</v>
      </c>
      <c r="H17" s="10">
        <v>0</v>
      </c>
      <c r="I17" s="10">
        <v>2426</v>
      </c>
      <c r="J17" s="7">
        <v>0.25291118918299055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7" sqref="C7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46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v>59.98</v>
      </c>
      <c r="G7" s="20">
        <v>42.727253680000004</v>
      </c>
      <c r="H7" s="20">
        <v>0.26</v>
      </c>
      <c r="I7" s="6">
        <v>1.5680742200000002</v>
      </c>
      <c r="J7" s="7">
        <v>0.00016347218289669842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v>954.5600000000002</v>
      </c>
      <c r="G8" s="6">
        <v>893.8756000000001</v>
      </c>
      <c r="H8" s="6">
        <v>3.45</v>
      </c>
      <c r="I8" s="6">
        <v>32.8049</v>
      </c>
      <c r="J8" s="7">
        <v>0.0034199201442823937</v>
      </c>
      <c r="L8" s="11"/>
    </row>
    <row r="9" spans="1:12" ht="15">
      <c r="A9" s="3">
        <v>3</v>
      </c>
      <c r="B9" s="4" t="s">
        <v>31</v>
      </c>
      <c r="C9" s="6" t="s">
        <v>47</v>
      </c>
      <c r="D9" s="5"/>
      <c r="E9" s="5"/>
      <c r="F9" s="6">
        <v>907</v>
      </c>
      <c r="G9" s="6">
        <v>1080.7095000000002</v>
      </c>
      <c r="H9" s="6">
        <v>39</v>
      </c>
      <c r="I9" s="6">
        <v>-212.70950000000016</v>
      </c>
      <c r="J9" s="7">
        <v>-0.02217502580194533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v>1861.5600000000002</v>
      </c>
      <c r="G10" s="6">
        <v>1974.5852</v>
      </c>
      <c r="H10" s="6">
        <v>42.45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8">
        <v>15859</v>
      </c>
      <c r="E11" s="8">
        <v>16002</v>
      </c>
      <c r="F11" s="7">
        <v>1430</v>
      </c>
      <c r="G11" s="6">
        <v>0</v>
      </c>
      <c r="H11" s="6">
        <v>0</v>
      </c>
      <c r="I11" s="6">
        <v>1430</v>
      </c>
      <c r="J11" s="7">
        <v>0.1490779062372945</v>
      </c>
    </row>
    <row r="12" spans="1:10" ht="15">
      <c r="A12" s="32"/>
      <c r="B12" s="4" t="s">
        <v>16</v>
      </c>
      <c r="C12" s="6"/>
      <c r="D12" s="8">
        <v>15587</v>
      </c>
      <c r="E12" s="8">
        <v>15759</v>
      </c>
      <c r="F12" s="7">
        <v>1720</v>
      </c>
      <c r="G12" s="6">
        <v>0</v>
      </c>
      <c r="H12" s="6">
        <v>0</v>
      </c>
      <c r="I12" s="6">
        <v>1720</v>
      </c>
      <c r="J12" s="7">
        <v>0.1793104886210815</v>
      </c>
    </row>
    <row r="13" spans="1:10" ht="15">
      <c r="A13" s="32"/>
      <c r="B13" s="4" t="s">
        <v>17</v>
      </c>
      <c r="C13" s="6"/>
      <c r="D13" s="8">
        <v>19511</v>
      </c>
      <c r="E13" s="8">
        <v>19611</v>
      </c>
      <c r="F13" s="7">
        <v>600</v>
      </c>
      <c r="G13" s="6">
        <v>0</v>
      </c>
      <c r="H13" s="6">
        <v>0</v>
      </c>
      <c r="I13" s="6">
        <v>600</v>
      </c>
      <c r="J13" s="7">
        <v>0.06255017044921447</v>
      </c>
    </row>
    <row r="14" spans="1:10" ht="15">
      <c r="A14" s="32"/>
      <c r="B14" s="4" t="s">
        <v>18</v>
      </c>
      <c r="C14" s="6"/>
      <c r="D14" s="8">
        <v>25873</v>
      </c>
      <c r="E14" s="8">
        <v>26071</v>
      </c>
      <c r="F14" s="7">
        <v>1188</v>
      </c>
      <c r="G14" s="6">
        <v>0</v>
      </c>
      <c r="H14" s="6">
        <v>0</v>
      </c>
      <c r="I14" s="6">
        <v>1188</v>
      </c>
      <c r="J14" s="7">
        <v>0.12384933748944467</v>
      </c>
    </row>
    <row r="15" spans="1:12" ht="15">
      <c r="A15" s="34"/>
      <c r="B15" s="21" t="s">
        <v>14</v>
      </c>
      <c r="C15" s="21"/>
      <c r="D15" s="9"/>
      <c r="E15" s="21"/>
      <c r="F15" s="22">
        <v>4938</v>
      </c>
      <c r="G15" s="22">
        <v>0</v>
      </c>
      <c r="H15" s="22">
        <v>0</v>
      </c>
      <c r="I15" s="22">
        <v>4938</v>
      </c>
      <c r="J15" s="7">
        <v>0.5147879027970351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v>2030</v>
      </c>
      <c r="G16" s="23">
        <v>0</v>
      </c>
      <c r="H16" s="23">
        <v>0</v>
      </c>
      <c r="I16" s="23">
        <v>2030</v>
      </c>
      <c r="J16" s="7">
        <v>0.211628076686509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v>2908</v>
      </c>
      <c r="G17" s="10">
        <v>0</v>
      </c>
      <c r="H17" s="10">
        <v>0</v>
      </c>
      <c r="I17" s="10">
        <v>2908</v>
      </c>
      <c r="J17" s="7">
        <v>0.30315982611052616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H5:H6"/>
    <mergeCell ref="I5:I6"/>
    <mergeCell ref="J5:J6"/>
    <mergeCell ref="A11:A15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7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8" sqref="E8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48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36.33+28.92+0.15+0.08+0.05</f>
        <v>65.53</v>
      </c>
      <c r="G7" s="20">
        <f>G8*0.0478</f>
        <v>52.209741199999996</v>
      </c>
      <c r="H7" s="20">
        <f>0.15+0.08+0.05</f>
        <v>0.27999999999999997</v>
      </c>
      <c r="I7" s="6">
        <f>32.8049*0.0478</f>
        <v>1.5680742200000002</v>
      </c>
      <c r="J7" s="7">
        <f>I7/9592.3</f>
        <v>0.00016347218289669842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f>374+605.2+1.4+1.49+0.74</f>
        <v>982.83</v>
      </c>
      <c r="G8" s="35">
        <f>493.23+373.274+225.75</f>
        <v>1092.254</v>
      </c>
      <c r="H8" s="6">
        <f>1.4+1.49+0.74</f>
        <v>3.63</v>
      </c>
      <c r="I8" s="6">
        <f>F8-G8-H8</f>
        <v>-113.05399999999986</v>
      </c>
      <c r="J8" s="7">
        <f aca="true" t="shared" si="0" ref="J8:J17">I8/9592.3</f>
        <v>-0.011785911616609142</v>
      </c>
      <c r="L8" s="11"/>
    </row>
    <row r="9" spans="1:12" ht="15">
      <c r="A9" s="3">
        <v>3</v>
      </c>
      <c r="B9" s="4" t="s">
        <v>31</v>
      </c>
      <c r="C9" s="6" t="s">
        <v>49</v>
      </c>
      <c r="D9" s="5"/>
      <c r="E9" s="5"/>
      <c r="F9" s="6">
        <f>59249-58152</f>
        <v>1097</v>
      </c>
      <c r="G9" s="35">
        <f>596.55+267.74+3.516</f>
        <v>867.8059999999999</v>
      </c>
      <c r="H9" s="6">
        <f>42</f>
        <v>42</v>
      </c>
      <c r="I9" s="6">
        <f>32.8049</f>
        <v>32.8049</v>
      </c>
      <c r="J9" s="7">
        <f t="shared" si="0"/>
        <v>0.0034199201442823937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2079.83</v>
      </c>
      <c r="G10" s="35">
        <f>1089.78+765.78+104.5</f>
        <v>1960.06</v>
      </c>
      <c r="H10" s="6">
        <f>H8+H9</f>
        <v>45.63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16002</v>
      </c>
      <c r="E11" s="8">
        <v>16097</v>
      </c>
      <c r="F11" s="7">
        <f>(E11-D11)*10</f>
        <v>950</v>
      </c>
      <c r="G11" s="6">
        <v>0</v>
      </c>
      <c r="H11" s="6">
        <v>0</v>
      </c>
      <c r="I11" s="6">
        <f>F11-G11-H11</f>
        <v>950</v>
      </c>
      <c r="J11" s="7">
        <f t="shared" si="0"/>
        <v>0.09903776987792293</v>
      </c>
    </row>
    <row r="12" spans="1:10" ht="15">
      <c r="A12" s="32"/>
      <c r="B12" s="4" t="s">
        <v>16</v>
      </c>
      <c r="C12" s="6"/>
      <c r="D12" s="8">
        <v>15759</v>
      </c>
      <c r="E12" s="8">
        <v>15868</v>
      </c>
      <c r="F12" s="7">
        <f>(E12-D12)*10</f>
        <v>1090</v>
      </c>
      <c r="G12" s="6">
        <v>0</v>
      </c>
      <c r="H12" s="6">
        <v>0</v>
      </c>
      <c r="I12" s="6">
        <f>F12-G12-H12</f>
        <v>1090</v>
      </c>
      <c r="J12" s="7">
        <f t="shared" si="0"/>
        <v>0.11363280964940631</v>
      </c>
    </row>
    <row r="13" spans="1:10" ht="15">
      <c r="A13" s="32"/>
      <c r="B13" s="4" t="s">
        <v>17</v>
      </c>
      <c r="C13" s="6"/>
      <c r="D13" s="8">
        <v>19611</v>
      </c>
      <c r="E13" s="8">
        <v>19758</v>
      </c>
      <c r="F13" s="7">
        <f>(E13-D13)*6</f>
        <v>882</v>
      </c>
      <c r="G13" s="6">
        <v>0</v>
      </c>
      <c r="H13" s="6">
        <v>0</v>
      </c>
      <c r="I13" s="6">
        <f>F13-G13-H13</f>
        <v>882</v>
      </c>
      <c r="J13" s="7">
        <f t="shared" si="0"/>
        <v>0.09194875056034528</v>
      </c>
    </row>
    <row r="14" spans="1:10" ht="15">
      <c r="A14" s="32"/>
      <c r="B14" s="4" t="s">
        <v>18</v>
      </c>
      <c r="C14" s="6"/>
      <c r="D14" s="8">
        <v>26071</v>
      </c>
      <c r="E14" s="8">
        <v>26199</v>
      </c>
      <c r="F14" s="7">
        <f>(E14-D14)*6</f>
        <v>768</v>
      </c>
      <c r="G14" s="6">
        <v>0</v>
      </c>
      <c r="H14" s="6">
        <v>0</v>
      </c>
      <c r="I14" s="6">
        <f>F14-G14-H14</f>
        <v>768</v>
      </c>
      <c r="J14" s="7">
        <f t="shared" si="0"/>
        <v>0.08006421817499454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3690</v>
      </c>
      <c r="G15" s="22">
        <f>SUM(G11:G14)</f>
        <v>0</v>
      </c>
      <c r="H15" s="22">
        <f>SUM(H11:H14)</f>
        <v>0</v>
      </c>
      <c r="I15" s="22">
        <f>SUM(I11:I14)</f>
        <v>3690</v>
      </c>
      <c r="J15" s="7">
        <f t="shared" si="0"/>
        <v>0.38468354826266904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1832</v>
      </c>
      <c r="G16" s="23">
        <f t="shared" si="1"/>
        <v>0</v>
      </c>
      <c r="H16" s="23">
        <f t="shared" si="1"/>
        <v>0</v>
      </c>
      <c r="I16" s="23">
        <f t="shared" si="1"/>
        <v>1832</v>
      </c>
      <c r="J16" s="7">
        <f t="shared" si="0"/>
        <v>0.19098652043826822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1858</v>
      </c>
      <c r="G17" s="10">
        <f t="shared" si="1"/>
        <v>0</v>
      </c>
      <c r="H17" s="10">
        <f t="shared" si="1"/>
        <v>0</v>
      </c>
      <c r="I17" s="10">
        <f t="shared" si="1"/>
        <v>1858</v>
      </c>
      <c r="J17" s="7">
        <f t="shared" si="0"/>
        <v>0.19369702782440085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7" sqref="J17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25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33.26+49.21+0.13+0.06+0.04</f>
        <v>82.7</v>
      </c>
      <c r="G7" s="20">
        <f>G8*0.0478</f>
        <v>39.214642</v>
      </c>
      <c r="H7" s="20">
        <f>0.13+0.06+0.04</f>
        <v>0.23</v>
      </c>
      <c r="I7" s="6">
        <f>32.8049*0.0478</f>
        <v>1.5680742200000002</v>
      </c>
      <c r="J7" s="7">
        <f>I7/9595.2</f>
        <v>0.000163422775971319</v>
      </c>
      <c r="L7" s="11"/>
    </row>
    <row r="8" spans="1:12" ht="15">
      <c r="A8" s="3">
        <v>2</v>
      </c>
      <c r="B8" s="4" t="s">
        <v>9</v>
      </c>
      <c r="C8" s="7"/>
      <c r="D8" s="5"/>
      <c r="E8" s="5"/>
      <c r="F8" s="7">
        <f>309.26+457.69+0.98+0.65+0.32</f>
        <v>768.9000000000001</v>
      </c>
      <c r="G8" s="6">
        <f>557.39+249.41+13.59</f>
        <v>820.39</v>
      </c>
      <c r="H8" s="6">
        <f>0.98+0.65+0.32</f>
        <v>1.95</v>
      </c>
      <c r="I8" s="6">
        <f>F8-G8-H8</f>
        <v>-53.4399999999999</v>
      </c>
      <c r="J8" s="7">
        <f aca="true" t="shared" si="0" ref="J8:J17">I8/9595.2</f>
        <v>-0.005569451392362837</v>
      </c>
      <c r="L8" s="11"/>
    </row>
    <row r="9" spans="1:12" ht="15">
      <c r="A9" s="3">
        <v>3</v>
      </c>
      <c r="B9" s="4" t="s">
        <v>19</v>
      </c>
      <c r="C9" s="6" t="s">
        <v>26</v>
      </c>
      <c r="D9" s="5"/>
      <c r="E9" s="5"/>
      <c r="F9" s="6">
        <f>49985-48849</f>
        <v>1136</v>
      </c>
      <c r="G9" s="6">
        <f>649.9+333.75+111.31</f>
        <v>1094.96</v>
      </c>
      <c r="H9" s="6">
        <v>36</v>
      </c>
      <c r="I9" s="6">
        <f>F9-G9-H9</f>
        <v>5.039999999999964</v>
      </c>
      <c r="J9" s="7">
        <f t="shared" si="0"/>
        <v>0.000525262631315654</v>
      </c>
      <c r="L9" s="11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1904.9</v>
      </c>
      <c r="G10" s="6">
        <f>1187.24+582.96+116.38+28.77</f>
        <v>1915.35</v>
      </c>
      <c r="H10" s="6">
        <f>H8+H9</f>
        <v>37.95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14980</v>
      </c>
      <c r="E11" s="8">
        <v>15115</v>
      </c>
      <c r="F11" s="7">
        <f>(E11-D11)*10</f>
        <v>1350</v>
      </c>
      <c r="G11" s="6">
        <v>0</v>
      </c>
      <c r="H11" s="6">
        <v>0</v>
      </c>
      <c r="I11" s="6">
        <f>F11-G11-H11</f>
        <v>1350</v>
      </c>
      <c r="J11" s="7">
        <f t="shared" si="0"/>
        <v>0.1406953476738369</v>
      </c>
    </row>
    <row r="12" spans="1:10" ht="15">
      <c r="A12" s="32"/>
      <c r="B12" s="4" t="s">
        <v>16</v>
      </c>
      <c r="C12" s="6"/>
      <c r="D12" s="8">
        <v>14402</v>
      </c>
      <c r="E12" s="8">
        <v>14578</v>
      </c>
      <c r="F12" s="7">
        <f>(E12-D12)*10</f>
        <v>1760</v>
      </c>
      <c r="G12" s="6">
        <v>0</v>
      </c>
      <c r="H12" s="6">
        <v>0</v>
      </c>
      <c r="I12" s="6">
        <f>F12-G12-H12</f>
        <v>1760</v>
      </c>
      <c r="J12" s="7">
        <f t="shared" si="0"/>
        <v>0.18342504585626146</v>
      </c>
    </row>
    <row r="13" spans="1:10" ht="15">
      <c r="A13" s="32"/>
      <c r="B13" s="4" t="s">
        <v>17</v>
      </c>
      <c r="C13" s="6"/>
      <c r="D13" s="8">
        <v>18690</v>
      </c>
      <c r="E13" s="8">
        <v>18833</v>
      </c>
      <c r="F13" s="7">
        <f>(E13-D13)*6</f>
        <v>858</v>
      </c>
      <c r="G13" s="6">
        <v>0</v>
      </c>
      <c r="H13" s="6">
        <v>0</v>
      </c>
      <c r="I13" s="6">
        <f>F13-G13-H13</f>
        <v>858</v>
      </c>
      <c r="J13" s="7">
        <f t="shared" si="0"/>
        <v>0.08941970985492746</v>
      </c>
    </row>
    <row r="14" spans="1:10" ht="15">
      <c r="A14" s="32"/>
      <c r="B14" s="4" t="s">
        <v>18</v>
      </c>
      <c r="C14" s="6"/>
      <c r="D14" s="8">
        <v>24617</v>
      </c>
      <c r="E14" s="8">
        <v>24820</v>
      </c>
      <c r="F14" s="7">
        <f>(E14-D14)*6</f>
        <v>1218</v>
      </c>
      <c r="G14" s="6">
        <v>0</v>
      </c>
      <c r="H14" s="6">
        <v>0</v>
      </c>
      <c r="I14" s="6">
        <f>F14-G14-H14</f>
        <v>1218</v>
      </c>
      <c r="J14" s="7">
        <f t="shared" si="0"/>
        <v>0.1269384692346173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5186</v>
      </c>
      <c r="G15" s="22">
        <f>SUM(G11:G14)</f>
        <v>0</v>
      </c>
      <c r="H15" s="22">
        <f>SUM(H11:H14)</f>
        <v>0</v>
      </c>
      <c r="I15" s="22">
        <f>SUM(I11:I14)</f>
        <v>5186</v>
      </c>
      <c r="J15" s="7">
        <f t="shared" si="0"/>
        <v>0.5404785726196432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2208</v>
      </c>
      <c r="G16" s="23">
        <f t="shared" si="1"/>
        <v>0</v>
      </c>
      <c r="H16" s="23">
        <f t="shared" si="1"/>
        <v>0</v>
      </c>
      <c r="I16" s="23">
        <f t="shared" si="1"/>
        <v>2208</v>
      </c>
      <c r="J16" s="7">
        <f t="shared" si="0"/>
        <v>0.23011505752876438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2978</v>
      </c>
      <c r="G17" s="10">
        <f t="shared" si="1"/>
        <v>0</v>
      </c>
      <c r="H17" s="10">
        <f t="shared" si="1"/>
        <v>0</v>
      </c>
      <c r="I17" s="10">
        <f t="shared" si="1"/>
        <v>2978</v>
      </c>
      <c r="J17" s="7">
        <f t="shared" si="0"/>
        <v>0.3103635150908787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3" sqref="A3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27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34.58+51.17+0.13+0.07+0.04</f>
        <v>85.99</v>
      </c>
      <c r="G7" s="20">
        <f>G8*0.0478</f>
        <v>38.6882684</v>
      </c>
      <c r="H7" s="20">
        <f>0.13+0.07+0.04</f>
        <v>0.24000000000000002</v>
      </c>
      <c r="I7" s="20">
        <f>32.8049*0.0478</f>
        <v>1.5680742200000002</v>
      </c>
      <c r="J7" s="7">
        <f>I7/9595.2</f>
        <v>0.000163422775971319</v>
      </c>
      <c r="L7" s="11"/>
    </row>
    <row r="8" spans="1:12" ht="15">
      <c r="A8" s="3">
        <v>2</v>
      </c>
      <c r="B8" s="4" t="s">
        <v>9</v>
      </c>
      <c r="C8" s="7"/>
      <c r="D8" s="5"/>
      <c r="E8" s="5"/>
      <c r="F8" s="7">
        <f>324.66+480.49+1.03+0.68+0.34</f>
        <v>807.2</v>
      </c>
      <c r="G8" s="6">
        <f>556.588+251.15+1.64</f>
        <v>809.3779999999999</v>
      </c>
      <c r="H8" s="6">
        <f>1.03+0.68+0.34</f>
        <v>2.05</v>
      </c>
      <c r="I8" s="6">
        <f>F8-G8-H8</f>
        <v>-4.227999999999883</v>
      </c>
      <c r="J8" s="7">
        <f aca="true" t="shared" si="0" ref="J8:J17">I8/9595.2</f>
        <v>-0.0004406369851592341</v>
      </c>
      <c r="L8" s="11"/>
    </row>
    <row r="9" spans="1:12" ht="15">
      <c r="A9" s="3">
        <v>3</v>
      </c>
      <c r="B9" s="4" t="s">
        <v>19</v>
      </c>
      <c r="C9" s="6" t="s">
        <v>28</v>
      </c>
      <c r="D9" s="5"/>
      <c r="E9" s="5"/>
      <c r="F9" s="6">
        <f>51017-49985</f>
        <v>1032</v>
      </c>
      <c r="G9" s="6">
        <f>648.93+361.6+5.96</f>
        <v>1016.49</v>
      </c>
      <c r="H9" s="6">
        <f>33</f>
        <v>33</v>
      </c>
      <c r="I9" s="6">
        <f>F9-G9-H9</f>
        <v>-17.49000000000001</v>
      </c>
      <c r="J9" s="7">
        <f t="shared" si="0"/>
        <v>-0.001822786393196599</v>
      </c>
      <c r="L9" s="11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1839.2</v>
      </c>
      <c r="G10" s="6">
        <f>1185.468+609.29+2.31+28.8</f>
        <v>1825.868</v>
      </c>
      <c r="H10" s="6">
        <f>H8+H9</f>
        <v>35.05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15115</v>
      </c>
      <c r="E11" s="8">
        <v>15217</v>
      </c>
      <c r="F11" s="7">
        <f>(E11-D11)*10</f>
        <v>1020</v>
      </c>
      <c r="G11" s="6">
        <v>0</v>
      </c>
      <c r="H11" s="6">
        <v>0</v>
      </c>
      <c r="I11" s="6">
        <f>F11-G11-H11</f>
        <v>1020</v>
      </c>
      <c r="J11" s="7">
        <f t="shared" si="0"/>
        <v>0.10630315157578789</v>
      </c>
    </row>
    <row r="12" spans="1:10" ht="15">
      <c r="A12" s="32"/>
      <c r="B12" s="4" t="s">
        <v>16</v>
      </c>
      <c r="C12" s="6"/>
      <c r="D12" s="8">
        <v>14578</v>
      </c>
      <c r="E12" s="8">
        <v>14713</v>
      </c>
      <c r="F12" s="7">
        <f>(E12-D12)*10</f>
        <v>1350</v>
      </c>
      <c r="G12" s="6">
        <v>0</v>
      </c>
      <c r="H12" s="6">
        <v>0</v>
      </c>
      <c r="I12" s="6">
        <f>F12-G12-H12</f>
        <v>1350</v>
      </c>
      <c r="J12" s="7">
        <f t="shared" si="0"/>
        <v>0.1406953476738369</v>
      </c>
    </row>
    <row r="13" spans="1:10" ht="15">
      <c r="A13" s="32"/>
      <c r="B13" s="4" t="s">
        <v>17</v>
      </c>
      <c r="C13" s="6"/>
      <c r="D13" s="8">
        <v>18833</v>
      </c>
      <c r="E13" s="8">
        <v>18936</v>
      </c>
      <c r="F13" s="7">
        <f>(E13-D13)*6</f>
        <v>618</v>
      </c>
      <c r="G13" s="6">
        <v>0</v>
      </c>
      <c r="H13" s="6">
        <v>0</v>
      </c>
      <c r="I13" s="6">
        <f>F13-G13-H13</f>
        <v>618</v>
      </c>
      <c r="J13" s="7">
        <f t="shared" si="0"/>
        <v>0.0644072036018009</v>
      </c>
    </row>
    <row r="14" spans="1:10" ht="15">
      <c r="A14" s="32"/>
      <c r="B14" s="4" t="s">
        <v>18</v>
      </c>
      <c r="C14" s="6"/>
      <c r="D14" s="8">
        <v>24820</v>
      </c>
      <c r="E14" s="8">
        <v>24972</v>
      </c>
      <c r="F14" s="7">
        <f>(E14-D14)*6</f>
        <v>912</v>
      </c>
      <c r="G14" s="6">
        <v>0</v>
      </c>
      <c r="H14" s="6">
        <v>0</v>
      </c>
      <c r="I14" s="6">
        <f>F14-G14-H14</f>
        <v>912</v>
      </c>
      <c r="J14" s="7">
        <f t="shared" si="0"/>
        <v>0.09504752376188093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3900</v>
      </c>
      <c r="G15" s="22">
        <f>SUM(G11:G14)</f>
        <v>0</v>
      </c>
      <c r="H15" s="22">
        <f>SUM(H11:H14)</f>
        <v>0</v>
      </c>
      <c r="I15" s="22">
        <f>SUM(I11:I14)</f>
        <v>3900</v>
      </c>
      <c r="J15" s="7">
        <f t="shared" si="0"/>
        <v>0.40645322661330663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1638</v>
      </c>
      <c r="G16" s="23">
        <f t="shared" si="1"/>
        <v>0</v>
      </c>
      <c r="H16" s="23">
        <f t="shared" si="1"/>
        <v>0</v>
      </c>
      <c r="I16" s="23">
        <f t="shared" si="1"/>
        <v>1638</v>
      </c>
      <c r="J16" s="7">
        <f t="shared" si="0"/>
        <v>0.17071035517758879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2262</v>
      </c>
      <c r="G17" s="10">
        <f t="shared" si="1"/>
        <v>0</v>
      </c>
      <c r="H17" s="10">
        <f t="shared" si="1"/>
        <v>0</v>
      </c>
      <c r="I17" s="10">
        <f t="shared" si="1"/>
        <v>2262</v>
      </c>
      <c r="J17" s="7">
        <f t="shared" si="0"/>
        <v>0.23574287143571784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29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42.08+42.36+0.17+0.08+0.05</f>
        <v>84.74</v>
      </c>
      <c r="G7" s="20">
        <f>G8*0.0478</f>
        <v>41.473192000000004</v>
      </c>
      <c r="H7" s="20">
        <f>0.17+0.08+0.05</f>
        <v>0.3</v>
      </c>
      <c r="I7" s="6">
        <f>32.8049*0.0478</f>
        <v>1.5680742200000002</v>
      </c>
      <c r="J7" s="7">
        <f aca="true" t="shared" si="0" ref="J7:J17">I7/9595.2</f>
        <v>0.000163422775971319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f>401.02+403.68+1.45+0.97+0.48</f>
        <v>807.6000000000001</v>
      </c>
      <c r="G8" s="6">
        <f>561.4+304.03+2.21</f>
        <v>867.64</v>
      </c>
      <c r="H8" s="6">
        <f>1.45+0.97+0.48</f>
        <v>2.9</v>
      </c>
      <c r="I8" s="6">
        <f>F8-G8-H8</f>
        <v>-62.93999999999985</v>
      </c>
      <c r="J8" s="7">
        <f t="shared" si="0"/>
        <v>-0.006559529764882425</v>
      </c>
      <c r="L8" s="11"/>
    </row>
    <row r="9" spans="1:12" ht="15">
      <c r="A9" s="3">
        <v>3</v>
      </c>
      <c r="B9" s="4" t="s">
        <v>31</v>
      </c>
      <c r="C9" s="6" t="s">
        <v>32</v>
      </c>
      <c r="D9" s="5"/>
      <c r="E9" s="5"/>
      <c r="F9" s="6">
        <f>52183-51017</f>
        <v>1166</v>
      </c>
      <c r="G9" s="6">
        <f>654.75+412.3+6.98</f>
        <v>1074.03</v>
      </c>
      <c r="H9" s="6">
        <f>38</f>
        <v>38</v>
      </c>
      <c r="I9" s="6">
        <v>32.8049</v>
      </c>
      <c r="J9" s="7">
        <f t="shared" si="0"/>
        <v>0.0034188865265966316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1973.6000000000001</v>
      </c>
      <c r="G10" s="6">
        <f>1196.1+707.52+7.55+30.5</f>
        <v>1941.6699999999998</v>
      </c>
      <c r="H10" s="6">
        <f>H8+H9</f>
        <v>40.9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15217</v>
      </c>
      <c r="E11" s="8">
        <v>15300</v>
      </c>
      <c r="F11" s="7">
        <f>(E11-D11)*10</f>
        <v>830</v>
      </c>
      <c r="G11" s="6">
        <v>0</v>
      </c>
      <c r="H11" s="6">
        <v>0</v>
      </c>
      <c r="I11" s="6">
        <f>F11-G11-H11</f>
        <v>830</v>
      </c>
      <c r="J11" s="7">
        <f t="shared" si="0"/>
        <v>0.08650158412539602</v>
      </c>
    </row>
    <row r="12" spans="1:10" ht="15">
      <c r="A12" s="32"/>
      <c r="B12" s="4" t="s">
        <v>16</v>
      </c>
      <c r="C12" s="6"/>
      <c r="D12" s="8">
        <v>14713</v>
      </c>
      <c r="E12" s="8">
        <v>14900</v>
      </c>
      <c r="F12" s="7">
        <f>(E12-D12)*10</f>
        <v>1870</v>
      </c>
      <c r="G12" s="6">
        <v>0</v>
      </c>
      <c r="H12" s="6">
        <v>0</v>
      </c>
      <c r="I12" s="6">
        <f>F12-G12-H12</f>
        <v>1870</v>
      </c>
      <c r="J12" s="7">
        <f t="shared" si="0"/>
        <v>0.19488911122227778</v>
      </c>
    </row>
    <row r="13" spans="1:10" ht="15">
      <c r="A13" s="32"/>
      <c r="B13" s="4" t="s">
        <v>17</v>
      </c>
      <c r="C13" s="6"/>
      <c r="D13" s="8">
        <v>18936</v>
      </c>
      <c r="E13" s="8">
        <v>19040</v>
      </c>
      <c r="F13" s="7">
        <f>(E13-D13)*6</f>
        <v>624</v>
      </c>
      <c r="G13" s="6">
        <v>0</v>
      </c>
      <c r="H13" s="6">
        <v>0</v>
      </c>
      <c r="I13" s="6">
        <f>F13-G13-H13</f>
        <v>624</v>
      </c>
      <c r="J13" s="7">
        <f t="shared" si="0"/>
        <v>0.06503251625812906</v>
      </c>
    </row>
    <row r="14" spans="1:10" ht="15">
      <c r="A14" s="32"/>
      <c r="B14" s="4" t="s">
        <v>18</v>
      </c>
      <c r="C14" s="6"/>
      <c r="D14" s="8">
        <v>24972</v>
      </c>
      <c r="E14" s="8">
        <v>25150</v>
      </c>
      <c r="F14" s="7">
        <f>(E14-D14)*6</f>
        <v>1068</v>
      </c>
      <c r="G14" s="6">
        <v>0</v>
      </c>
      <c r="H14" s="6">
        <v>0</v>
      </c>
      <c r="I14" s="6">
        <f>F14-G14-H14</f>
        <v>1068</v>
      </c>
      <c r="J14" s="7">
        <f t="shared" si="0"/>
        <v>0.11130565282641319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4392</v>
      </c>
      <c r="G15" s="22">
        <f>SUM(G11:G14)</f>
        <v>0</v>
      </c>
      <c r="H15" s="22">
        <f>SUM(H11:H14)</f>
        <v>0</v>
      </c>
      <c r="I15" s="22">
        <f>SUM(I11:I14)</f>
        <v>4392</v>
      </c>
      <c r="J15" s="7">
        <f t="shared" si="0"/>
        <v>0.45772886443221605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1454</v>
      </c>
      <c r="G16" s="23">
        <f t="shared" si="1"/>
        <v>0</v>
      </c>
      <c r="H16" s="23">
        <f t="shared" si="1"/>
        <v>0</v>
      </c>
      <c r="I16" s="23">
        <f t="shared" si="1"/>
        <v>1454</v>
      </c>
      <c r="J16" s="7">
        <f t="shared" si="0"/>
        <v>0.15153410038352508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2938</v>
      </c>
      <c r="G17" s="10">
        <f t="shared" si="1"/>
        <v>0</v>
      </c>
      <c r="H17" s="10">
        <f t="shared" si="1"/>
        <v>0</v>
      </c>
      <c r="I17" s="10">
        <f t="shared" si="1"/>
        <v>2938</v>
      </c>
      <c r="J17" s="7">
        <f t="shared" si="0"/>
        <v>0.306194764048691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H5:H6"/>
    <mergeCell ref="I5:I6"/>
    <mergeCell ref="J5:J6"/>
    <mergeCell ref="A11:A15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7" sqref="B7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34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28.8+28.99+0.12+0.06+0.03</f>
        <v>58</v>
      </c>
      <c r="G7" s="20">
        <f>G8*0.0478</f>
        <v>41.83712686</v>
      </c>
      <c r="H7" s="20">
        <f>0.12+0.06+0.03</f>
        <v>0.21</v>
      </c>
      <c r="I7" s="6">
        <f>32.8049*0.0478</f>
        <v>1.5680742200000002</v>
      </c>
      <c r="J7" s="7">
        <f aca="true" t="shared" si="0" ref="J7:J17">I7/9595.2</f>
        <v>0.000163422775971319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f>390.69+393.29+1.41+0.94+0.47</f>
        <v>786.8000000000001</v>
      </c>
      <c r="G8" s="6">
        <f>557.5237+312.03+5.7</f>
        <v>875.2537</v>
      </c>
      <c r="H8" s="6">
        <f>1.41+0.94+0.47</f>
        <v>2.8199999999999994</v>
      </c>
      <c r="I8" s="6">
        <f>F8-G8-H8</f>
        <v>-91.2736999999999</v>
      </c>
      <c r="J8" s="7">
        <f t="shared" si="0"/>
        <v>-0.009512433299983315</v>
      </c>
      <c r="L8" s="11"/>
    </row>
    <row r="9" spans="1:12" ht="15">
      <c r="A9" s="3">
        <v>3</v>
      </c>
      <c r="B9" s="4" t="s">
        <v>31</v>
      </c>
      <c r="C9" s="6" t="s">
        <v>35</v>
      </c>
      <c r="D9" s="5"/>
      <c r="E9" s="5"/>
      <c r="F9" s="6">
        <f>53309-52183</f>
        <v>1126</v>
      </c>
      <c r="G9" s="6">
        <f>650.0617+391.81+100.94</f>
        <v>1142.8117</v>
      </c>
      <c r="H9" s="6">
        <f>41</f>
        <v>41</v>
      </c>
      <c r="I9" s="6">
        <f>F9-G9-H9</f>
        <v>-57.81169999999997</v>
      </c>
      <c r="J9" s="7">
        <f t="shared" si="0"/>
        <v>-0.006025064615641151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1912.8000000000002</v>
      </c>
      <c r="G10" s="6">
        <f>1187.5353+707.65+93.86+29.02</f>
        <v>2018.0653</v>
      </c>
      <c r="H10" s="6">
        <f>H8+H9</f>
        <v>43.82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15300</v>
      </c>
      <c r="E11" s="8">
        <v>15401</v>
      </c>
      <c r="F11" s="7">
        <f>(E11-D11)*10</f>
        <v>1010</v>
      </c>
      <c r="G11" s="6">
        <v>0</v>
      </c>
      <c r="H11" s="6">
        <v>0</v>
      </c>
      <c r="I11" s="6">
        <f>F11-G11-H11</f>
        <v>1010</v>
      </c>
      <c r="J11" s="7">
        <f t="shared" si="0"/>
        <v>0.10526096381524094</v>
      </c>
    </row>
    <row r="12" spans="1:10" ht="15">
      <c r="A12" s="32"/>
      <c r="B12" s="4" t="s">
        <v>16</v>
      </c>
      <c r="C12" s="6"/>
      <c r="D12" s="8">
        <v>14900</v>
      </c>
      <c r="E12" s="8">
        <v>14963</v>
      </c>
      <c r="F12" s="7">
        <f>(E12-D12)*10</f>
        <v>630</v>
      </c>
      <c r="G12" s="6">
        <v>0</v>
      </c>
      <c r="H12" s="6">
        <v>0</v>
      </c>
      <c r="I12" s="6">
        <f>F12-G12-H12</f>
        <v>630</v>
      </c>
      <c r="J12" s="7">
        <f t="shared" si="0"/>
        <v>0.06565782891445722</v>
      </c>
    </row>
    <row r="13" spans="1:10" ht="15">
      <c r="A13" s="32"/>
      <c r="B13" s="4" t="s">
        <v>17</v>
      </c>
      <c r="C13" s="6"/>
      <c r="D13" s="8">
        <v>19040</v>
      </c>
      <c r="E13" s="8">
        <v>19088</v>
      </c>
      <c r="F13" s="7">
        <f>(E13-D13)*6</f>
        <v>288</v>
      </c>
      <c r="G13" s="6">
        <v>0</v>
      </c>
      <c r="H13" s="6">
        <v>0</v>
      </c>
      <c r="I13" s="6">
        <f>F13-G13-H13</f>
        <v>288</v>
      </c>
      <c r="J13" s="7">
        <f t="shared" si="0"/>
        <v>0.030015007503751873</v>
      </c>
    </row>
    <row r="14" spans="1:10" ht="15">
      <c r="A14" s="32"/>
      <c r="B14" s="4" t="s">
        <v>18</v>
      </c>
      <c r="C14" s="6"/>
      <c r="D14" s="8">
        <v>25150</v>
      </c>
      <c r="E14" s="8">
        <v>25223</v>
      </c>
      <c r="F14" s="7">
        <f>(E14-D14)*6</f>
        <v>438</v>
      </c>
      <c r="G14" s="6">
        <v>0</v>
      </c>
      <c r="H14" s="6">
        <v>0</v>
      </c>
      <c r="I14" s="6">
        <f>F14-G14-H14</f>
        <v>438</v>
      </c>
      <c r="J14" s="7">
        <f t="shared" si="0"/>
        <v>0.04564782391195597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2366</v>
      </c>
      <c r="G15" s="22">
        <f>SUM(G11:G14)</f>
        <v>0</v>
      </c>
      <c r="H15" s="22">
        <f>SUM(H11:H14)</f>
        <v>0</v>
      </c>
      <c r="I15" s="22">
        <f>SUM(I11:I14)</f>
        <v>2366</v>
      </c>
      <c r="J15" s="7">
        <f t="shared" si="0"/>
        <v>0.24658162414540602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1298</v>
      </c>
      <c r="G16" s="23">
        <f t="shared" si="1"/>
        <v>0</v>
      </c>
      <c r="H16" s="23">
        <f t="shared" si="1"/>
        <v>0</v>
      </c>
      <c r="I16" s="23">
        <f t="shared" si="1"/>
        <v>1298</v>
      </c>
      <c r="J16" s="7">
        <f t="shared" si="0"/>
        <v>0.13527597131899283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1068</v>
      </c>
      <c r="G17" s="10">
        <f t="shared" si="1"/>
        <v>0</v>
      </c>
      <c r="H17" s="10">
        <f t="shared" si="1"/>
        <v>0</v>
      </c>
      <c r="I17" s="10">
        <f t="shared" si="1"/>
        <v>1068</v>
      </c>
      <c r="J17" s="7">
        <f t="shared" si="0"/>
        <v>0.11130565282641319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36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17.96+18.08+0.07+0.04+0.02</f>
        <v>36.17</v>
      </c>
      <c r="G7" s="20">
        <f>G8*0.0478</f>
        <v>42.46313</v>
      </c>
      <c r="H7" s="20">
        <f>0.07+0.04+0.02</f>
        <v>0.13</v>
      </c>
      <c r="I7" s="6">
        <f>F7-G7-H7</f>
        <v>-6.423129999999998</v>
      </c>
      <c r="J7" s="7">
        <f>I7/9594.8</f>
        <v>-0.0006694386542710633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f>420.1+422.89+1.51+1.02+0.51</f>
        <v>846.03</v>
      </c>
      <c r="G8" s="6">
        <f>545.36+337.73+5.26</f>
        <v>888.35</v>
      </c>
      <c r="H8" s="6">
        <f>1.51+1.02+0.51</f>
        <v>3.04</v>
      </c>
      <c r="I8" s="6">
        <f>F8-G8-H8</f>
        <v>-45.36000000000005</v>
      </c>
      <c r="J8" s="7">
        <f aca="true" t="shared" si="0" ref="J8:J17">I8/9594.8</f>
        <v>-0.004727560762079465</v>
      </c>
      <c r="L8" s="11"/>
    </row>
    <row r="9" spans="1:12" ht="15">
      <c r="A9" s="3">
        <v>3</v>
      </c>
      <c r="B9" s="4" t="s">
        <v>31</v>
      </c>
      <c r="C9" s="6" t="s">
        <v>37</v>
      </c>
      <c r="D9" s="5"/>
      <c r="E9" s="5"/>
      <c r="F9" s="6">
        <f>54094-53309</f>
        <v>785</v>
      </c>
      <c r="G9" s="6">
        <f>635.35+384.64+14.57</f>
        <v>1034.56</v>
      </c>
      <c r="H9" s="6">
        <v>24</v>
      </c>
      <c r="I9" s="6">
        <f>F9-G9-H9</f>
        <v>-273.55999999999995</v>
      </c>
      <c r="J9" s="7">
        <f t="shared" si="0"/>
        <v>-0.02851127694167674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1631.03</v>
      </c>
      <c r="G10" s="6">
        <f>1160.66+725.48+8.34+28.43</f>
        <v>1922.91</v>
      </c>
      <c r="H10" s="6">
        <f>H8+H9</f>
        <v>27.04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15401</v>
      </c>
      <c r="E11" s="8">
        <v>15480</v>
      </c>
      <c r="F11" s="7">
        <f>(E11-D11)*10</f>
        <v>790</v>
      </c>
      <c r="G11" s="6">
        <v>0</v>
      </c>
      <c r="H11" s="6">
        <v>0</v>
      </c>
      <c r="I11" s="6">
        <f>F11-G11-H11</f>
        <v>790</v>
      </c>
      <c r="J11" s="7">
        <f t="shared" si="0"/>
        <v>0.08233626547713345</v>
      </c>
    </row>
    <row r="12" spans="1:10" ht="15">
      <c r="A12" s="32"/>
      <c r="B12" s="4" t="s">
        <v>16</v>
      </c>
      <c r="C12" s="6"/>
      <c r="D12" s="8">
        <v>14963</v>
      </c>
      <c r="E12" s="8">
        <v>15063</v>
      </c>
      <c r="F12" s="7">
        <f>(E12-D12)*10</f>
        <v>1000</v>
      </c>
      <c r="G12" s="6">
        <v>0</v>
      </c>
      <c r="H12" s="6">
        <v>0</v>
      </c>
      <c r="I12" s="6">
        <f>F12-G12-H12</f>
        <v>1000</v>
      </c>
      <c r="J12" s="7">
        <f t="shared" si="0"/>
        <v>0.10422312085713095</v>
      </c>
    </row>
    <row r="13" spans="1:10" ht="15">
      <c r="A13" s="32"/>
      <c r="B13" s="4" t="s">
        <v>17</v>
      </c>
      <c r="C13" s="6"/>
      <c r="D13" s="8">
        <v>19088</v>
      </c>
      <c r="E13" s="8">
        <v>19175</v>
      </c>
      <c r="F13" s="7">
        <f>(E13-D13)*6</f>
        <v>522</v>
      </c>
      <c r="G13" s="6">
        <v>0</v>
      </c>
      <c r="H13" s="6">
        <v>0</v>
      </c>
      <c r="I13" s="6">
        <f>F13-G13-H13</f>
        <v>522</v>
      </c>
      <c r="J13" s="7">
        <f t="shared" si="0"/>
        <v>0.05440446908742236</v>
      </c>
    </row>
    <row r="14" spans="1:10" ht="15">
      <c r="A14" s="32"/>
      <c r="B14" s="4" t="s">
        <v>18</v>
      </c>
      <c r="C14" s="6"/>
      <c r="D14" s="8">
        <v>25223</v>
      </c>
      <c r="E14" s="8">
        <v>25365</v>
      </c>
      <c r="F14" s="7">
        <f>(E14-D14)*6</f>
        <v>852</v>
      </c>
      <c r="G14" s="6">
        <v>0</v>
      </c>
      <c r="H14" s="6">
        <v>0</v>
      </c>
      <c r="I14" s="6">
        <f>F14-G14-H14</f>
        <v>852</v>
      </c>
      <c r="J14" s="7">
        <f t="shared" si="0"/>
        <v>0.08879809897027557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3164</v>
      </c>
      <c r="G15" s="22">
        <f>SUM(G11:G14)</f>
        <v>0</v>
      </c>
      <c r="H15" s="22">
        <f>SUM(H11:H14)</f>
        <v>0</v>
      </c>
      <c r="I15" s="22">
        <f>SUM(I11:I14)</f>
        <v>3164</v>
      </c>
      <c r="J15" s="7">
        <f t="shared" si="0"/>
        <v>0.3297619543919623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1312</v>
      </c>
      <c r="G16" s="23">
        <f t="shared" si="1"/>
        <v>0</v>
      </c>
      <c r="H16" s="23">
        <f t="shared" si="1"/>
        <v>0</v>
      </c>
      <c r="I16" s="23">
        <f t="shared" si="1"/>
        <v>1312</v>
      </c>
      <c r="J16" s="7">
        <f t="shared" si="0"/>
        <v>0.13674073456455582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1852</v>
      </c>
      <c r="G17" s="10">
        <f t="shared" si="1"/>
        <v>0</v>
      </c>
      <c r="H17" s="10">
        <f t="shared" si="1"/>
        <v>0</v>
      </c>
      <c r="I17" s="10">
        <f t="shared" si="1"/>
        <v>1852</v>
      </c>
      <c r="J17" s="7">
        <f t="shared" si="0"/>
        <v>0.19302121982740653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5" sqref="C5:C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38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f>27.47+21.18+0.06+0.04+0.03</f>
        <v>48.78</v>
      </c>
      <c r="G7" s="20">
        <f>G8*0.0478</f>
        <v>40.743286000000005</v>
      </c>
      <c r="H7" s="20">
        <f>0.06+0.04+0.03</f>
        <v>0.13</v>
      </c>
      <c r="I7" s="6">
        <f>I8*0.0478</f>
        <v>1.5680742200000002</v>
      </c>
      <c r="J7" s="7">
        <f aca="true" t="shared" si="0" ref="J7:J17">I7/9594.8</f>
        <v>0.00016342958894401138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f>662.76+503.7+1.24+1.2+0.6</f>
        <v>1169.5</v>
      </c>
      <c r="G8" s="6">
        <f>549.37+300.47+2.53</f>
        <v>852.37</v>
      </c>
      <c r="H8" s="6">
        <f>1.24+1.2+0.6</f>
        <v>3.04</v>
      </c>
      <c r="I8" s="6">
        <f>32.8049</f>
        <v>32.8049</v>
      </c>
      <c r="J8" s="7">
        <f t="shared" si="0"/>
        <v>0.0034190290574060956</v>
      </c>
      <c r="L8" s="11"/>
    </row>
    <row r="9" spans="1:12" ht="15">
      <c r="A9" s="3">
        <v>3</v>
      </c>
      <c r="B9" s="4" t="s">
        <v>31</v>
      </c>
      <c r="C9" s="6" t="s">
        <v>39</v>
      </c>
      <c r="D9" s="5"/>
      <c r="E9" s="5"/>
      <c r="F9" s="6">
        <f>54857-54094</f>
        <v>763</v>
      </c>
      <c r="G9" s="6">
        <f>640.2+374.56+21.39</f>
        <v>1036.15</v>
      </c>
      <c r="H9" s="6">
        <f>35</f>
        <v>35</v>
      </c>
      <c r="I9" s="6">
        <f>F9-G9-H9</f>
        <v>-308.1500000000001</v>
      </c>
      <c r="J9" s="7">
        <f t="shared" si="0"/>
        <v>-0.03211635469212491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1932.5</v>
      </c>
      <c r="G10" s="6">
        <f>1169.52+682.34+9.09+27.57</f>
        <v>1888.52</v>
      </c>
      <c r="H10" s="6">
        <f>H8+H9</f>
        <v>38.04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8">
        <v>15480</v>
      </c>
      <c r="E11" s="8">
        <v>15550</v>
      </c>
      <c r="F11" s="7">
        <f>(E11-D11)*10</f>
        <v>700</v>
      </c>
      <c r="G11" s="6">
        <v>0</v>
      </c>
      <c r="H11" s="6">
        <v>0</v>
      </c>
      <c r="I11" s="6">
        <f>F11-G11-H11</f>
        <v>700</v>
      </c>
      <c r="J11" s="7">
        <f t="shared" si="0"/>
        <v>0.07295618459999166</v>
      </c>
    </row>
    <row r="12" spans="1:10" ht="15">
      <c r="A12" s="32"/>
      <c r="B12" s="4" t="s">
        <v>16</v>
      </c>
      <c r="C12" s="6"/>
      <c r="D12" s="8">
        <v>15063</v>
      </c>
      <c r="E12" s="8">
        <v>15154</v>
      </c>
      <c r="F12" s="7">
        <f>(E12-D12)*10</f>
        <v>910</v>
      </c>
      <c r="G12" s="6">
        <v>0</v>
      </c>
      <c r="H12" s="6">
        <v>0</v>
      </c>
      <c r="I12" s="6">
        <f>F12-G12-H12</f>
        <v>910</v>
      </c>
      <c r="J12" s="7">
        <f t="shared" si="0"/>
        <v>0.09484303997998916</v>
      </c>
    </row>
    <row r="13" spans="1:10" ht="15">
      <c r="A13" s="32"/>
      <c r="B13" s="4" t="s">
        <v>17</v>
      </c>
      <c r="C13" s="6"/>
      <c r="D13" s="8">
        <v>19175</v>
      </c>
      <c r="E13" s="8">
        <v>19231</v>
      </c>
      <c r="F13" s="7">
        <f>(E13-D13)*6</f>
        <v>336</v>
      </c>
      <c r="G13" s="6">
        <v>0</v>
      </c>
      <c r="H13" s="6">
        <v>0</v>
      </c>
      <c r="I13" s="6">
        <f>F13-G13-H13</f>
        <v>336</v>
      </c>
      <c r="J13" s="7">
        <f t="shared" si="0"/>
        <v>0.035018968607996</v>
      </c>
    </row>
    <row r="14" spans="1:10" ht="15">
      <c r="A14" s="32"/>
      <c r="B14" s="4" t="s">
        <v>18</v>
      </c>
      <c r="C14" s="6"/>
      <c r="D14" s="8">
        <v>25365</v>
      </c>
      <c r="E14" s="8">
        <v>25465</v>
      </c>
      <c r="F14" s="7">
        <f>(E14-D14)*6</f>
        <v>600</v>
      </c>
      <c r="G14" s="6">
        <v>0</v>
      </c>
      <c r="H14" s="6">
        <v>0</v>
      </c>
      <c r="I14" s="6">
        <f>F14-G14-H14</f>
        <v>600</v>
      </c>
      <c r="J14" s="7">
        <f t="shared" si="0"/>
        <v>0.06253387251427857</v>
      </c>
    </row>
    <row r="15" spans="1:12" ht="15">
      <c r="A15" s="33"/>
      <c r="B15" s="21" t="s">
        <v>14</v>
      </c>
      <c r="C15" s="21"/>
      <c r="D15" s="9"/>
      <c r="E15" s="21"/>
      <c r="F15" s="22">
        <f>SUM(F11:F14)</f>
        <v>2546</v>
      </c>
      <c r="G15" s="22">
        <f>SUM(G11:G14)</f>
        <v>0</v>
      </c>
      <c r="H15" s="22">
        <f>SUM(H11:H14)</f>
        <v>0</v>
      </c>
      <c r="I15" s="22">
        <f>SUM(I11:I14)</f>
        <v>2546</v>
      </c>
      <c r="J15" s="7">
        <f t="shared" si="0"/>
        <v>0.2653520657022554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1036</v>
      </c>
      <c r="G16" s="23">
        <f t="shared" si="1"/>
        <v>0</v>
      </c>
      <c r="H16" s="23">
        <f t="shared" si="1"/>
        <v>0</v>
      </c>
      <c r="I16" s="23">
        <f t="shared" si="1"/>
        <v>1036</v>
      </c>
      <c r="J16" s="7">
        <f t="shared" si="0"/>
        <v>0.10797515320798767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1510</v>
      </c>
      <c r="G17" s="10">
        <f t="shared" si="1"/>
        <v>0</v>
      </c>
      <c r="H17" s="10">
        <f t="shared" si="1"/>
        <v>0</v>
      </c>
      <c r="I17" s="10">
        <f t="shared" si="1"/>
        <v>1510</v>
      </c>
      <c r="J17" s="7">
        <f t="shared" si="0"/>
        <v>0.15737691249426775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9" sqref="C9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40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v>69.71999999999998</v>
      </c>
      <c r="G7" s="20">
        <v>42.36615814</v>
      </c>
      <c r="H7" s="20">
        <v>0.18000000000000002</v>
      </c>
      <c r="I7" s="6">
        <v>1.5680742200000002</v>
      </c>
      <c r="J7" s="7">
        <v>0.00016347218289669842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v>1458.34</v>
      </c>
      <c r="G8" s="6">
        <v>886.3213000000001</v>
      </c>
      <c r="H8" s="6">
        <v>3.6</v>
      </c>
      <c r="I8" s="6">
        <v>32.8049</v>
      </c>
      <c r="J8" s="7">
        <v>0.0034199201442823937</v>
      </c>
      <c r="L8" s="11"/>
    </row>
    <row r="9" spans="1:12" ht="15">
      <c r="A9" s="3">
        <v>3</v>
      </c>
      <c r="B9" s="4" t="s">
        <v>31</v>
      </c>
      <c r="C9" s="6" t="s">
        <v>41</v>
      </c>
      <c r="D9" s="5"/>
      <c r="E9" s="5"/>
      <c r="F9" s="6">
        <v>831</v>
      </c>
      <c r="G9" s="6">
        <v>1015.8433</v>
      </c>
      <c r="H9" s="6">
        <v>37</v>
      </c>
      <c r="I9" s="6">
        <v>-221.8433</v>
      </c>
      <c r="J9" s="7">
        <v>-0.023127227046693705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v>2289.34</v>
      </c>
      <c r="G10" s="6">
        <v>1902.1647</v>
      </c>
      <c r="H10" s="6">
        <v>40.6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8">
        <v>15550</v>
      </c>
      <c r="E11" s="8">
        <v>15638</v>
      </c>
      <c r="F11" s="7">
        <v>880</v>
      </c>
      <c r="G11" s="6">
        <v>0</v>
      </c>
      <c r="H11" s="6">
        <v>0</v>
      </c>
      <c r="I11" s="6">
        <v>880</v>
      </c>
      <c r="J11" s="7">
        <v>0.09174024999218124</v>
      </c>
    </row>
    <row r="12" spans="1:10" ht="15">
      <c r="A12" s="32"/>
      <c r="B12" s="4" t="s">
        <v>16</v>
      </c>
      <c r="C12" s="6"/>
      <c r="D12" s="8">
        <v>15154</v>
      </c>
      <c r="E12" s="8">
        <v>15277</v>
      </c>
      <c r="F12" s="7">
        <v>1230</v>
      </c>
      <c r="G12" s="6">
        <v>0</v>
      </c>
      <c r="H12" s="6">
        <v>0</v>
      </c>
      <c r="I12" s="6">
        <v>1230</v>
      </c>
      <c r="J12" s="7">
        <v>0.1282278494208897</v>
      </c>
    </row>
    <row r="13" spans="1:10" ht="15">
      <c r="A13" s="32"/>
      <c r="B13" s="4" t="s">
        <v>17</v>
      </c>
      <c r="C13" s="6"/>
      <c r="D13" s="8">
        <v>19231</v>
      </c>
      <c r="E13" s="8">
        <v>19323</v>
      </c>
      <c r="F13" s="7">
        <v>552</v>
      </c>
      <c r="G13" s="6">
        <v>0</v>
      </c>
      <c r="H13" s="6">
        <v>0</v>
      </c>
      <c r="I13" s="6">
        <v>552</v>
      </c>
      <c r="J13" s="7">
        <v>0.05754615681327732</v>
      </c>
    </row>
    <row r="14" spans="1:10" ht="15">
      <c r="A14" s="32"/>
      <c r="B14" s="4" t="s">
        <v>18</v>
      </c>
      <c r="C14" s="6"/>
      <c r="D14" s="8">
        <v>25465</v>
      </c>
      <c r="E14" s="8">
        <v>25603</v>
      </c>
      <c r="F14" s="7">
        <v>828</v>
      </c>
      <c r="G14" s="6">
        <v>0</v>
      </c>
      <c r="H14" s="6">
        <v>0</v>
      </c>
      <c r="I14" s="6">
        <v>828</v>
      </c>
      <c r="J14" s="7">
        <v>0.08631923521991598</v>
      </c>
    </row>
    <row r="15" spans="1:12" ht="15">
      <c r="A15" s="34"/>
      <c r="B15" s="21" t="s">
        <v>14</v>
      </c>
      <c r="C15" s="21"/>
      <c r="D15" s="9"/>
      <c r="E15" s="21"/>
      <c r="F15" s="22">
        <v>3490</v>
      </c>
      <c r="G15" s="22">
        <v>0</v>
      </c>
      <c r="H15" s="22">
        <v>0</v>
      </c>
      <c r="I15" s="22">
        <v>3490</v>
      </c>
      <c r="J15" s="7">
        <v>0.3638334914462642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v>1432</v>
      </c>
      <c r="G16" s="23">
        <v>0</v>
      </c>
      <c r="H16" s="23">
        <v>0</v>
      </c>
      <c r="I16" s="23">
        <v>1432</v>
      </c>
      <c r="J16" s="7">
        <v>0.14928640680545854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v>2058</v>
      </c>
      <c r="G17" s="10">
        <v>0</v>
      </c>
      <c r="H17" s="10">
        <v>0</v>
      </c>
      <c r="I17" s="10">
        <v>2058</v>
      </c>
      <c r="J17" s="7">
        <v>0.21454708464080566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H5:H6"/>
    <mergeCell ref="I5:I6"/>
    <mergeCell ref="J5:J6"/>
    <mergeCell ref="A11:A15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5" sqref="C5:C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42</v>
      </c>
    </row>
    <row r="4" spans="1:10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>
      <c r="A5" s="25" t="s">
        <v>0</v>
      </c>
      <c r="B5" s="27" t="s">
        <v>1</v>
      </c>
      <c r="C5" s="25" t="s">
        <v>2</v>
      </c>
      <c r="D5" s="29" t="s">
        <v>7</v>
      </c>
      <c r="E5" s="30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15.75">
      <c r="A6" s="26"/>
      <c r="B6" s="28"/>
      <c r="C6" s="26"/>
      <c r="D6" s="14" t="s">
        <v>12</v>
      </c>
      <c r="E6" s="15" t="s">
        <v>13</v>
      </c>
      <c r="F6" s="26"/>
      <c r="G6" s="26"/>
      <c r="H6" s="26"/>
      <c r="I6" s="26"/>
      <c r="J6" s="28"/>
    </row>
    <row r="7" spans="1:12" ht="15">
      <c r="A7" s="16">
        <v>1</v>
      </c>
      <c r="B7" s="17" t="s">
        <v>22</v>
      </c>
      <c r="C7" s="16"/>
      <c r="D7" s="18"/>
      <c r="E7" s="19"/>
      <c r="F7" s="20">
        <v>86.64999999999999</v>
      </c>
      <c r="G7" s="20">
        <v>42.88471166</v>
      </c>
      <c r="H7" s="20">
        <v>0.24000000000000002</v>
      </c>
      <c r="I7" s="6">
        <v>1.5680742200000002</v>
      </c>
      <c r="J7" s="7">
        <v>0.00016347218289669842</v>
      </c>
      <c r="L7" s="11"/>
    </row>
    <row r="8" spans="1:12" ht="15">
      <c r="A8" s="3">
        <v>2</v>
      </c>
      <c r="B8" s="4" t="s">
        <v>30</v>
      </c>
      <c r="C8" s="7"/>
      <c r="D8" s="5"/>
      <c r="E8" s="5"/>
      <c r="F8" s="7">
        <v>1812.2100000000003</v>
      </c>
      <c r="G8" s="6">
        <v>897.1696999999999</v>
      </c>
      <c r="H8" s="6">
        <v>4.32</v>
      </c>
      <c r="I8" s="6">
        <v>32.8049</v>
      </c>
      <c r="J8" s="7">
        <v>0.0034199201442823937</v>
      </c>
      <c r="L8" s="11"/>
    </row>
    <row r="9" spans="1:12" ht="15">
      <c r="A9" s="3">
        <v>3</v>
      </c>
      <c r="B9" s="4" t="s">
        <v>31</v>
      </c>
      <c r="C9" s="6" t="s">
        <v>43</v>
      </c>
      <c r="D9" s="5"/>
      <c r="E9" s="5"/>
      <c r="F9" s="6">
        <v>715</v>
      </c>
      <c r="G9" s="6">
        <v>1013.6022</v>
      </c>
      <c r="H9" s="6">
        <v>38</v>
      </c>
      <c r="I9" s="6">
        <v>-336.60220000000004</v>
      </c>
      <c r="J9" s="7">
        <v>-0.03509087497263431</v>
      </c>
      <c r="L9" s="11"/>
    </row>
    <row r="10" spans="1:10" ht="15">
      <c r="A10" s="3">
        <v>4</v>
      </c>
      <c r="B10" s="4" t="s">
        <v>33</v>
      </c>
      <c r="C10" s="6"/>
      <c r="D10" s="5"/>
      <c r="E10" s="5"/>
      <c r="F10" s="6">
        <v>2527.21</v>
      </c>
      <c r="G10" s="6">
        <v>1910.7729000000002</v>
      </c>
      <c r="H10" s="6">
        <v>42.32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8">
        <v>15638</v>
      </c>
      <c r="E11" s="8">
        <v>15751</v>
      </c>
      <c r="F11" s="7">
        <v>1130</v>
      </c>
      <c r="G11" s="6">
        <v>0</v>
      </c>
      <c r="H11" s="6">
        <v>0</v>
      </c>
      <c r="I11" s="6">
        <v>1130</v>
      </c>
      <c r="J11" s="7">
        <v>0.11780282101268727</v>
      </c>
    </row>
    <row r="12" spans="1:10" ht="15">
      <c r="A12" s="32"/>
      <c r="B12" s="4" t="s">
        <v>16</v>
      </c>
      <c r="C12" s="6"/>
      <c r="D12" s="8">
        <v>15277</v>
      </c>
      <c r="E12" s="8">
        <v>15429</v>
      </c>
      <c r="F12" s="7">
        <v>1520</v>
      </c>
      <c r="G12" s="6">
        <v>0</v>
      </c>
      <c r="H12" s="6">
        <v>0</v>
      </c>
      <c r="I12" s="6">
        <v>1520</v>
      </c>
      <c r="J12" s="7">
        <v>0.15846043180467667</v>
      </c>
    </row>
    <row r="13" spans="1:10" ht="15">
      <c r="A13" s="32"/>
      <c r="B13" s="4" t="s">
        <v>17</v>
      </c>
      <c r="C13" s="6"/>
      <c r="D13" s="8">
        <v>19323</v>
      </c>
      <c r="E13" s="8">
        <v>19418</v>
      </c>
      <c r="F13" s="7">
        <v>570</v>
      </c>
      <c r="G13" s="6">
        <v>0</v>
      </c>
      <c r="H13" s="6">
        <v>0</v>
      </c>
      <c r="I13" s="6">
        <v>570</v>
      </c>
      <c r="J13" s="7">
        <v>0.05942266192675375</v>
      </c>
    </row>
    <row r="14" spans="1:10" ht="15">
      <c r="A14" s="32"/>
      <c r="B14" s="4" t="s">
        <v>18</v>
      </c>
      <c r="C14" s="6"/>
      <c r="D14" s="8">
        <v>25603</v>
      </c>
      <c r="E14" s="8">
        <v>25732</v>
      </c>
      <c r="F14" s="7">
        <v>774</v>
      </c>
      <c r="G14" s="6">
        <v>0</v>
      </c>
      <c r="H14" s="6">
        <v>0</v>
      </c>
      <c r="I14" s="6">
        <v>774</v>
      </c>
      <c r="J14" s="7">
        <v>0.08068971987948667</v>
      </c>
    </row>
    <row r="15" spans="1:12" ht="15">
      <c r="A15" s="34"/>
      <c r="B15" s="21" t="s">
        <v>14</v>
      </c>
      <c r="C15" s="21"/>
      <c r="D15" s="9"/>
      <c r="E15" s="21"/>
      <c r="F15" s="22">
        <v>3994</v>
      </c>
      <c r="G15" s="22">
        <v>0</v>
      </c>
      <c r="H15" s="22">
        <v>0</v>
      </c>
      <c r="I15" s="22">
        <v>3994</v>
      </c>
      <c r="J15" s="7">
        <v>0.4163756346236044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v>1700</v>
      </c>
      <c r="G16" s="23">
        <v>0</v>
      </c>
      <c r="H16" s="23">
        <v>0</v>
      </c>
      <c r="I16" s="23">
        <v>1700</v>
      </c>
      <c r="J16" s="7">
        <v>0.17722548293944101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v>2294</v>
      </c>
      <c r="G17" s="10">
        <v>0</v>
      </c>
      <c r="H17" s="10">
        <v>0</v>
      </c>
      <c r="I17" s="10">
        <v>2294</v>
      </c>
      <c r="J17" s="7">
        <v>0.23915015168416337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2012-11-21T05:33:05Z</cp:lastPrinted>
  <dcterms:created xsi:type="dcterms:W3CDTF">2006-09-16T00:00:00Z</dcterms:created>
  <dcterms:modified xsi:type="dcterms:W3CDTF">2015-01-30T08:02:14Z</dcterms:modified>
  <cp:category/>
  <cp:version/>
  <cp:contentType/>
  <cp:contentStatus/>
</cp:coreProperties>
</file>