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43 (январь)" sheetId="1" r:id="rId1"/>
    <sheet name="43 (февраль)" sheetId="2" r:id="rId2"/>
    <sheet name="43 (март)" sheetId="3" r:id="rId3"/>
    <sheet name="43 (апрель)" sheetId="4" r:id="rId4"/>
    <sheet name="43 (май)" sheetId="5" r:id="rId5"/>
    <sheet name="43 (июнь)" sheetId="6" r:id="rId6"/>
    <sheet name="43 (июль)" sheetId="7" r:id="rId7"/>
    <sheet name="43 (август)" sheetId="8" r:id="rId8"/>
    <sheet name="43 (сентябрь)" sheetId="9" r:id="rId9"/>
    <sheet name="43 (октябрь)" sheetId="10" r:id="rId10"/>
    <sheet name="43 (ноябрь)" sheetId="11" r:id="rId11"/>
    <sheet name="43 (декабрь)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181,151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367,184 квт/ч из 41 дома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119,384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0
 квт/ч из 41 дома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123,778
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0
 квт/ч из 41 дома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136,962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257,078
 квт/ч из 41 дома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83,496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255,857
 квт/ч из 41 дома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62,499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262,693
 квт/ч из 41 дома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16,846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195,799
 квт/ч из 41 дома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4,883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173,094
 квт/ч из 41 дома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6,836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181,883
 квт/ч из 41 дома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17,334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0
 квт/ч из 41 дома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D11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49,316  квт/ч из дома41</t>
        </r>
      </text>
    </comment>
    <comment ref="D12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добавлено дворовое освещен = 0
 квт/ч из 41 дома</t>
        </r>
      </text>
    </comment>
  </commentList>
</comments>
</file>

<file path=xl/sharedStrings.xml><?xml version="1.0" encoding="utf-8"?>
<sst xmlns="http://schemas.openxmlformats.org/spreadsheetml/2006/main" count="216" uniqueCount="40">
  <si>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</si>
  <si>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</si>
  <si>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</si>
  <si>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</si>
  <si>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</si>
  <si>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ГВС (тонн)</t>
  </si>
  <si>
    <t>водоотведение(тонн)</t>
  </si>
  <si>
    <t>итого по эл.эн.</t>
  </si>
  <si>
    <t>ХВС (тонн)</t>
  </si>
  <si>
    <t>нагрев воды (Г.кал.)</t>
  </si>
  <si>
    <t>Ухтомская 43</t>
  </si>
  <si>
    <t>объем потребления</t>
  </si>
  <si>
    <t>начисление по индивидуальным приборам учета и нормативу</t>
  </si>
  <si>
    <t>начисление сторонним потребителям</t>
  </si>
  <si>
    <t>Общий объем эл.эн.день</t>
  </si>
  <si>
    <t>Общий объем эл.эн.ночь</t>
  </si>
  <si>
    <t>Объем коммунальных услуг по показаниям общедомовых приборов учета (ОДН) за январь в феврале 2016г.</t>
  </si>
  <si>
    <t>44780,/45412</t>
  </si>
  <si>
    <t>Объем коммунальных услуг по показаниям общедомовых приборов учета (ОДН) за февраль в марте 2016г.</t>
  </si>
  <si>
    <t>45412,/46068</t>
  </si>
  <si>
    <t>Объем коммунальных услуг по показаниям общедомовых приборов учета (ОДН) за март в апреле 2016г.</t>
  </si>
  <si>
    <t>46068,/46858</t>
  </si>
  <si>
    <t>Объем коммунальных услуг по показаниям общедомовых приборов учета (ОДН) за апрель в мае 2016г.</t>
  </si>
  <si>
    <t>46858,/47509</t>
  </si>
  <si>
    <t>Объем коммунальных услуг по показаниям общедомовых приборов учета (ОДН) за май в июне 2016г.</t>
  </si>
  <si>
    <t>47509,/48243</t>
  </si>
  <si>
    <t>Объем коммунальных услуг по показаниям общедомовых приборов учета (ОДН) за июнь в июле 2016г.</t>
  </si>
  <si>
    <t>48243,/48814</t>
  </si>
  <si>
    <t>Объем коммунальных услуг по показаниям общедомовых приборов учета (ОДН) за июль в августе 2016г.</t>
  </si>
  <si>
    <t>48814,/49301</t>
  </si>
  <si>
    <t>Объем коммунальных услуг по показаниям общедомовых приборов учета (ОДН) за август в сентябре 2016г.</t>
  </si>
  <si>
    <t>49301,/50079</t>
  </si>
  <si>
    <t>Объем коммунальных услуг по показаниям общедомовых приборов учета (ОДН) за сентябрь в октябре 2016г.</t>
  </si>
  <si>
    <t>50079,/50730</t>
  </si>
  <si>
    <t>Объем коммунальных услуг по показаниям общедомовых приборов учета (ОДН) за октябрь в ноябре 2016г.</t>
  </si>
  <si>
    <t>50730 /51351</t>
  </si>
  <si>
    <t>Объем коммунальных услуг по показаниям общедомовых приборов учета (ОДН) за ноябрь в декабре 2016г.</t>
  </si>
  <si>
    <t>51351,/52058</t>
  </si>
  <si>
    <t>Объем коммунальных услуг по показаниям общедомовых приборов учета (ОДН) за декабрь в январе 2017г.</t>
  </si>
  <si>
    <t>52058,/52628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</si>
</sst>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0.0000"/>
    <numFmt numFmtId="176" formatCode="#,##0.000"/>
  </numFmts>
  <fonts count="2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G7" sqref="G7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16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36.03</f>
        <v>36.03</v>
      </c>
      <c r="E7" s="12">
        <f>E8*0.0478+0.0012</f>
        <v>18.814334563800003</v>
      </c>
      <c r="F7" s="12">
        <v>0</v>
      </c>
      <c r="G7" s="16">
        <f>G8*0.0478-0.0006</f>
        <v>0.7059939399999999</v>
      </c>
      <c r="H7" s="6">
        <f aca="true" t="shared" si="0" ref="H7:H13">G7/4409</f>
        <v>0.00016012563846677248</v>
      </c>
      <c r="J7" s="7"/>
    </row>
    <row r="8" spans="1:10" ht="15">
      <c r="A8" s="3">
        <v>2</v>
      </c>
      <c r="B8" s="4" t="s">
        <v>5</v>
      </c>
      <c r="C8" s="6"/>
      <c r="D8" s="6">
        <f>464.5</f>
        <v>464.5</v>
      </c>
      <c r="E8" s="16">
        <f>220.3376-62.841379+225.124+10.96</f>
        <v>393.580221</v>
      </c>
      <c r="F8" s="16">
        <v>0</v>
      </c>
      <c r="G8" s="16">
        <f>14.7821+0.0002</f>
        <v>14.7823</v>
      </c>
      <c r="H8" s="6">
        <f t="shared" si="0"/>
        <v>0.0033527557269222045</v>
      </c>
      <c r="J8" s="7"/>
    </row>
    <row r="9" spans="1:10" ht="15" customHeight="1">
      <c r="A9" s="3">
        <v>3</v>
      </c>
      <c r="B9" s="4" t="s">
        <v>8</v>
      </c>
      <c r="C9" s="5" t="s">
        <v>17</v>
      </c>
      <c r="D9" s="5">
        <f>45412-44780</f>
        <v>632</v>
      </c>
      <c r="E9" s="16">
        <f>1.8731-0.535172+544.391+53.76</f>
        <v>599.488928</v>
      </c>
      <c r="F9" s="16">
        <v>0</v>
      </c>
      <c r="G9" s="16">
        <f>14.7821+0.0002</f>
        <v>14.7823</v>
      </c>
      <c r="H9" s="6">
        <f t="shared" si="0"/>
        <v>0.0033527557269222045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1096.5</v>
      </c>
      <c r="E10" s="16">
        <f>2.4441+569.325+62.03+302.34+56.93</f>
        <v>993.0691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6">
        <f>12117+181.15</f>
        <v>12298.15</v>
      </c>
      <c r="E11" s="16">
        <f>8298</f>
        <v>8298</v>
      </c>
      <c r="F11" s="16">
        <v>0</v>
      </c>
      <c r="G11" s="16">
        <f>3213.5-0.0004</f>
        <v>3213.4996</v>
      </c>
      <c r="H11" s="6">
        <f t="shared" si="0"/>
        <v>0.72884998865956</v>
      </c>
      <c r="I11" s="8"/>
      <c r="J11" s="7"/>
    </row>
    <row r="12" spans="1:10" ht="15">
      <c r="A12" s="26"/>
      <c r="B12" s="15" t="s">
        <v>15</v>
      </c>
      <c r="C12" s="5"/>
      <c r="D12" s="6">
        <f>15663+367.18</f>
        <v>16030.18</v>
      </c>
      <c r="E12" s="16">
        <f>8350</f>
        <v>8350</v>
      </c>
      <c r="F12" s="16">
        <v>0</v>
      </c>
      <c r="G12" s="16">
        <v>0</v>
      </c>
      <c r="H12" s="6">
        <f t="shared" si="0"/>
        <v>0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28328.33</v>
      </c>
      <c r="E13" s="17">
        <f>SUM(E11:E12)</f>
        <v>16648</v>
      </c>
      <c r="F13" s="17">
        <f>SUM(F11:F12)</f>
        <v>0</v>
      </c>
      <c r="G13" s="17">
        <f>SUM(G11:G12)</f>
        <v>3213.4996</v>
      </c>
      <c r="H13" s="6">
        <f t="shared" si="0"/>
        <v>0.72884998865956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4" sqref="D14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34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.75">
      <c r="A7" s="13">
        <v>1</v>
      </c>
      <c r="B7" s="14" t="s">
        <v>9</v>
      </c>
      <c r="C7" s="20"/>
      <c r="D7" s="21">
        <v>34.65</v>
      </c>
      <c r="E7" s="21">
        <f>15.7066+27.4576-4.487589</f>
        <v>38.676611</v>
      </c>
      <c r="F7" s="22">
        <v>0</v>
      </c>
      <c r="G7" s="5">
        <f>D7-E7-F7+0.2661</f>
        <v>-3.760511000000003</v>
      </c>
      <c r="H7" s="6">
        <f>G7/4408.7</f>
        <v>-0.0008529750266518481</v>
      </c>
      <c r="J7" s="7"/>
    </row>
    <row r="8" spans="1:10" ht="15">
      <c r="A8" s="3">
        <v>2</v>
      </c>
      <c r="B8" s="4" t="s">
        <v>5</v>
      </c>
      <c r="C8" s="6"/>
      <c r="D8" s="23">
        <v>392.2</v>
      </c>
      <c r="E8" s="24">
        <f>179.52+314.16-51.2</f>
        <v>442.4800000000001</v>
      </c>
      <c r="F8" s="16">
        <v>0</v>
      </c>
      <c r="G8" s="5">
        <f>D8-E8-F8+3.3915</f>
        <v>-46.888500000000086</v>
      </c>
      <c r="H8" s="6">
        <f aca="true" t="shared" si="0" ref="H8:H13">G8/4408.7</f>
        <v>-0.010635448091274091</v>
      </c>
      <c r="J8" s="7"/>
    </row>
    <row r="9" spans="1:10" ht="15" customHeight="1">
      <c r="A9" s="3">
        <v>3</v>
      </c>
      <c r="B9" s="4" t="s">
        <v>8</v>
      </c>
      <c r="C9" s="5" t="s">
        <v>35</v>
      </c>
      <c r="D9" s="5">
        <f>51351-50730</f>
        <v>621</v>
      </c>
      <c r="E9" s="11">
        <f>27.16+635.72-7.76</f>
        <v>655.12</v>
      </c>
      <c r="F9" s="16">
        <v>0</v>
      </c>
      <c r="G9" s="5">
        <f>D9-E9-F9+2.5856</f>
        <v>-31.534400000000005</v>
      </c>
      <c r="H9" s="6">
        <f t="shared" si="0"/>
        <v>-0.007152766121532426</v>
      </c>
      <c r="J9" s="7"/>
    </row>
    <row r="10" spans="1:10" ht="15" customHeight="1">
      <c r="A10" s="3">
        <v>4</v>
      </c>
      <c r="B10" s="4" t="s">
        <v>6</v>
      </c>
      <c r="C10" s="5"/>
      <c r="D10" s="11">
        <f>D8+D9</f>
        <v>1013.2</v>
      </c>
      <c r="E10" s="5">
        <f>49.6+759.76+347.2-58.96</f>
        <v>1097.6</v>
      </c>
      <c r="F10" s="16">
        <f>F8+F9</f>
        <v>0</v>
      </c>
      <c r="G10" s="5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6">
        <f>10084+96.891</f>
        <v>10180.891</v>
      </c>
      <c r="E11" s="5">
        <f>13007-1888+0.001</f>
        <v>11119.001</v>
      </c>
      <c r="F11" s="5">
        <v>0</v>
      </c>
      <c r="G11" s="5">
        <f>D11-E11-F11-0.0005</f>
        <v>-938.1105000000006</v>
      </c>
      <c r="H11" s="6">
        <f t="shared" si="0"/>
        <v>-0.2127861954771249</v>
      </c>
      <c r="I11" s="8"/>
      <c r="J11" s="7"/>
    </row>
    <row r="12" spans="1:10" ht="15">
      <c r="A12" s="26"/>
      <c r="B12" s="15" t="s">
        <v>15</v>
      </c>
      <c r="C12" s="5"/>
      <c r="D12" s="6">
        <v>8753</v>
      </c>
      <c r="E12" s="5">
        <v>7080</v>
      </c>
      <c r="F12" s="5">
        <v>0</v>
      </c>
      <c r="G12" s="5">
        <f>D12-E12-F12+0.0006</f>
        <v>1673.0006</v>
      </c>
      <c r="H12" s="6">
        <f t="shared" si="0"/>
        <v>0.3794770794111643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18933.891</v>
      </c>
      <c r="E13" s="11">
        <f>SUM(E11:E12)</f>
        <v>18199.001</v>
      </c>
      <c r="F13" s="11">
        <f>SUM(F11:F12)</f>
        <v>0</v>
      </c>
      <c r="G13" s="11">
        <f>SUM(G11:G12)</f>
        <v>734.8900999999995</v>
      </c>
      <c r="H13" s="6">
        <f t="shared" si="0"/>
        <v>0.1666908839340394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36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.75">
      <c r="A7" s="13">
        <v>1</v>
      </c>
      <c r="B7" s="14" t="s">
        <v>9</v>
      </c>
      <c r="C7" s="20"/>
      <c r="D7" s="21">
        <f>32.97</f>
        <v>32.97</v>
      </c>
      <c r="E7" s="21">
        <f>14.9118-4.260502+68.7585+0.0003</f>
        <v>79.41009799999999</v>
      </c>
      <c r="F7" s="22">
        <v>0</v>
      </c>
      <c r="G7" s="5">
        <f>D7-E7-F7+18.0695</f>
        <v>-28.37059799999999</v>
      </c>
      <c r="H7" s="6">
        <f>G7/4410.7</f>
        <v>-0.006432221189380368</v>
      </c>
      <c r="J7" s="7"/>
    </row>
    <row r="8" spans="1:10" ht="15">
      <c r="A8" s="3">
        <v>2</v>
      </c>
      <c r="B8" s="4" t="s">
        <v>5</v>
      </c>
      <c r="C8" s="6"/>
      <c r="D8" s="23">
        <f>441.1</f>
        <v>441.1</v>
      </c>
      <c r="E8" s="24">
        <f>190.74-54.4+880.39</f>
        <v>1016.73</v>
      </c>
      <c r="F8" s="16">
        <v>0</v>
      </c>
      <c r="G8" s="5">
        <f>D8-E8-F8+219.6344</f>
        <v>-355.99559999999997</v>
      </c>
      <c r="H8" s="6">
        <f aca="true" t="shared" si="0" ref="H8:H13">G8/4410.7</f>
        <v>-0.08071181445122089</v>
      </c>
      <c r="J8" s="7"/>
    </row>
    <row r="9" spans="1:10" ht="15" customHeight="1">
      <c r="A9" s="3">
        <v>3</v>
      </c>
      <c r="B9" s="4" t="s">
        <v>8</v>
      </c>
      <c r="C9" s="5" t="s">
        <v>37</v>
      </c>
      <c r="D9" s="5">
        <f>52058-51351</f>
        <v>707</v>
      </c>
      <c r="E9" s="11">
        <f>27.16-7.76+1153.58</f>
        <v>1172.98</v>
      </c>
      <c r="F9" s="16">
        <v>0</v>
      </c>
      <c r="G9" s="5">
        <f>D9-E9-F9+99.5362</f>
        <v>-366.4438</v>
      </c>
      <c r="H9" s="6">
        <f t="shared" si="0"/>
        <v>-0.08308064479561068</v>
      </c>
      <c r="J9" s="7"/>
    </row>
    <row r="10" spans="1:10" ht="15" customHeight="1">
      <c r="A10" s="3">
        <v>4</v>
      </c>
      <c r="B10" s="4" t="s">
        <v>6</v>
      </c>
      <c r="C10" s="5"/>
      <c r="D10" s="11">
        <f>D8+D9</f>
        <v>1148.1</v>
      </c>
      <c r="E10" s="5">
        <f>49.6-14.16+1830.27+372-48</f>
        <v>2189.71</v>
      </c>
      <c r="F10" s="16">
        <f>F8+F9</f>
        <v>0</v>
      </c>
      <c r="G10" s="5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9469+119.384</f>
        <v>9588.384</v>
      </c>
      <c r="E11" s="5">
        <f>11331-1108</f>
        <v>10223</v>
      </c>
      <c r="F11" s="5">
        <v>0</v>
      </c>
      <c r="G11" s="5">
        <f>D11-E11-F11-0.001</f>
        <v>-634.617</v>
      </c>
      <c r="H11" s="6">
        <f t="shared" si="0"/>
        <v>-0.1438812433400594</v>
      </c>
      <c r="I11" s="8"/>
      <c r="J11" s="7"/>
    </row>
    <row r="12" spans="1:10" ht="15">
      <c r="A12" s="26"/>
      <c r="B12" s="15" t="s">
        <v>15</v>
      </c>
      <c r="C12" s="5"/>
      <c r="D12" s="18">
        <f>10609</f>
        <v>10609</v>
      </c>
      <c r="E12" s="5">
        <f>6639</f>
        <v>6639</v>
      </c>
      <c r="F12" s="5">
        <v>0</v>
      </c>
      <c r="G12" s="5">
        <f>D12-E12-F12-121.884+0.0002</f>
        <v>3848.1162</v>
      </c>
      <c r="H12" s="6">
        <f t="shared" si="0"/>
        <v>0.8724502233205614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20197.384</v>
      </c>
      <c r="E13" s="11">
        <f>SUM(E11:E12)</f>
        <v>16862</v>
      </c>
      <c r="F13" s="11">
        <f>SUM(F11:F12)</f>
        <v>0</v>
      </c>
      <c r="G13" s="11">
        <f>SUM(G11:G12)</f>
        <v>3213.4992</v>
      </c>
      <c r="H13" s="6">
        <f t="shared" si="0"/>
        <v>0.7285689799805021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35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38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.75">
      <c r="A7" s="13">
        <v>1</v>
      </c>
      <c r="B7" s="14" t="s">
        <v>9</v>
      </c>
      <c r="C7" s="20"/>
      <c r="D7" s="21">
        <f>33.95</f>
        <v>33.95</v>
      </c>
      <c r="E7" s="21">
        <f>13.3277+23.2019-4.442584+0.0007</f>
        <v>32.08771600000001</v>
      </c>
      <c r="F7" s="22">
        <v>0</v>
      </c>
      <c r="G7" s="16">
        <f>17.3529*0.0764-0.0001</f>
        <v>1.3256615600000001</v>
      </c>
      <c r="H7" s="6">
        <f aca="true" t="shared" si="0" ref="H7:H13">G7/4410.7</f>
        <v>0.0003005558210714853</v>
      </c>
      <c r="J7" s="7"/>
    </row>
    <row r="8" spans="1:10" ht="15">
      <c r="A8" s="3">
        <v>2</v>
      </c>
      <c r="B8" s="4" t="s">
        <v>5</v>
      </c>
      <c r="C8" s="6"/>
      <c r="D8" s="23">
        <f>467.9</f>
        <v>467.9</v>
      </c>
      <c r="E8" s="24">
        <f>174.29+303.69-58</f>
        <v>419.98</v>
      </c>
      <c r="F8" s="5">
        <v>0</v>
      </c>
      <c r="G8" s="5">
        <f>17.3529+0.0014</f>
        <v>17.354300000000002</v>
      </c>
      <c r="H8" s="6">
        <f t="shared" si="0"/>
        <v>0.003934590881266013</v>
      </c>
      <c r="J8" s="7"/>
    </row>
    <row r="9" spans="1:10" ht="15" customHeight="1">
      <c r="A9" s="3">
        <v>3</v>
      </c>
      <c r="B9" s="4" t="s">
        <v>8</v>
      </c>
      <c r="C9" s="5" t="s">
        <v>39</v>
      </c>
      <c r="D9" s="5">
        <f>52628-52058</f>
        <v>570</v>
      </c>
      <c r="E9" s="11">
        <f>29.08+572.16-9.68</f>
        <v>591.5600000000001</v>
      </c>
      <c r="F9" s="5">
        <v>0</v>
      </c>
      <c r="G9" s="5">
        <f>D9-E9-F9+2.2498</f>
        <v>-19.31020000000006</v>
      </c>
      <c r="H9" s="6">
        <f t="shared" si="0"/>
        <v>-0.004378035232502791</v>
      </c>
      <c r="J9" s="7"/>
    </row>
    <row r="10" spans="1:10" ht="15" customHeight="1">
      <c r="A10" s="3">
        <v>4</v>
      </c>
      <c r="B10" s="4" t="s">
        <v>6</v>
      </c>
      <c r="C10" s="5"/>
      <c r="D10" s="11">
        <f>D8+D9</f>
        <v>1037.9</v>
      </c>
      <c r="E10" s="5">
        <f>53.12+694.1+332-17.68-50</f>
        <v>1011.54</v>
      </c>
      <c r="F10" s="16">
        <f>F8+F9</f>
        <v>0</v>
      </c>
      <c r="G10" s="5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8700+123.778</f>
        <v>8823.778</v>
      </c>
      <c r="E11" s="5">
        <f>12431-3034</f>
        <v>9397</v>
      </c>
      <c r="F11" s="5">
        <v>0</v>
      </c>
      <c r="G11" s="5">
        <f>D11-E11-F11-0.0006</f>
        <v>-573.2225999999997</v>
      </c>
      <c r="H11" s="6">
        <f t="shared" si="0"/>
        <v>-0.1299618201192554</v>
      </c>
      <c r="I11" s="8"/>
      <c r="J11" s="7"/>
    </row>
    <row r="12" spans="1:10" ht="15">
      <c r="A12" s="26"/>
      <c r="B12" s="15" t="s">
        <v>15</v>
      </c>
      <c r="C12" s="5"/>
      <c r="D12" s="18">
        <f>7130</f>
        <v>7130</v>
      </c>
      <c r="E12" s="5">
        <f>6471</f>
        <v>6471</v>
      </c>
      <c r="F12" s="5">
        <v>0</v>
      </c>
      <c r="G12" s="5">
        <f>D12-E12-F12-0.0001</f>
        <v>658.9999</v>
      </c>
      <c r="H12" s="6">
        <f t="shared" si="0"/>
        <v>0.14940936812750813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15953.778</v>
      </c>
      <c r="E13" s="11">
        <f>SUM(E11:E12)</f>
        <v>15868</v>
      </c>
      <c r="F13" s="11">
        <f>SUM(F11:F12)</f>
        <v>0</v>
      </c>
      <c r="G13" s="11">
        <f>SUM(G11:G12)</f>
        <v>85.77730000000031</v>
      </c>
      <c r="H13" s="6">
        <f t="shared" si="0"/>
        <v>0.01944754800825273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18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34.17</f>
        <v>34.17</v>
      </c>
      <c r="E7" s="12">
        <f>E8*0.0478+0.0011</f>
        <v>19.005424</v>
      </c>
      <c r="F7" s="12">
        <v>0</v>
      </c>
      <c r="G7" s="16">
        <f>14.7821*0.0478-0.0006</f>
        <v>0.70598438</v>
      </c>
      <c r="H7" s="6">
        <f aca="true" t="shared" si="0" ref="H7:H13">G7/4409</f>
        <v>0.00016012347017464276</v>
      </c>
      <c r="J7" s="7"/>
    </row>
    <row r="8" spans="1:10" ht="15">
      <c r="A8" s="3">
        <v>2</v>
      </c>
      <c r="B8" s="4" t="s">
        <v>5</v>
      </c>
      <c r="C8" s="6"/>
      <c r="D8" s="6">
        <f>402</f>
        <v>402</v>
      </c>
      <c r="E8" s="16">
        <f>218.79-62.4+230.61+10.58</f>
        <v>397.58</v>
      </c>
      <c r="F8" s="16">
        <v>0</v>
      </c>
      <c r="G8" s="16">
        <f>D8-E8-F8+0.0018</f>
        <v>4.421800000000016</v>
      </c>
      <c r="H8" s="6">
        <f t="shared" si="0"/>
        <v>0.0010029031526423262</v>
      </c>
      <c r="J8" s="7"/>
    </row>
    <row r="9" spans="1:10" ht="15" customHeight="1">
      <c r="A9" s="3">
        <v>3</v>
      </c>
      <c r="B9" s="4" t="s">
        <v>8</v>
      </c>
      <c r="C9" s="5" t="s">
        <v>19</v>
      </c>
      <c r="D9" s="5">
        <f>46068-45412</f>
        <v>656</v>
      </c>
      <c r="E9" s="16">
        <f>504.61+33.51</f>
        <v>538.12</v>
      </c>
      <c r="F9" s="16">
        <v>0</v>
      </c>
      <c r="G9" s="16">
        <f>14.7821+0.0002</f>
        <v>14.7823</v>
      </c>
      <c r="H9" s="6">
        <f t="shared" si="0"/>
        <v>0.0033527557269222045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1058</v>
      </c>
      <c r="E10" s="16">
        <f>564.91+61.66+274.21+34.92</f>
        <v>935.6999999999999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11098+136.962</f>
        <v>11234.962</v>
      </c>
      <c r="E11" s="16">
        <f>8296-990</f>
        <v>7306</v>
      </c>
      <c r="F11" s="16">
        <v>0</v>
      </c>
      <c r="G11" s="16">
        <f>3213.5-0.0004</f>
        <v>3213.4996</v>
      </c>
      <c r="H11" s="6">
        <f t="shared" si="0"/>
        <v>0.72884998865956</v>
      </c>
      <c r="I11" s="8"/>
      <c r="J11" s="7"/>
    </row>
    <row r="12" spans="1:10" ht="15">
      <c r="A12" s="26"/>
      <c r="B12" s="15" t="s">
        <v>15</v>
      </c>
      <c r="C12" s="5"/>
      <c r="D12" s="18">
        <f>9110+257.078</f>
        <v>9367.078</v>
      </c>
      <c r="E12" s="16">
        <f>7826</f>
        <v>7826</v>
      </c>
      <c r="F12" s="16">
        <v>0</v>
      </c>
      <c r="G12" s="16">
        <v>0</v>
      </c>
      <c r="H12" s="6">
        <f t="shared" si="0"/>
        <v>0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20602.04</v>
      </c>
      <c r="E13" s="17">
        <f>SUM(E11:E12)</f>
        <v>15132</v>
      </c>
      <c r="F13" s="17">
        <f>SUM(F11:F12)</f>
        <v>0</v>
      </c>
      <c r="G13" s="17">
        <f>SUM(G11:G12)</f>
        <v>3213.4996</v>
      </c>
      <c r="H13" s="6">
        <f t="shared" si="0"/>
        <v>0.72884998865956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20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36.32</f>
        <v>36.32</v>
      </c>
      <c r="E7" s="12">
        <f>E8*0.0478+0.001</f>
        <v>20.390568000000005</v>
      </c>
      <c r="F7" s="12">
        <v>0</v>
      </c>
      <c r="G7" s="16">
        <f>14.7821*0.0478-0.0006</f>
        <v>0.70598438</v>
      </c>
      <c r="H7" s="6">
        <f aca="true" t="shared" si="0" ref="H7:H13">G7/4409</f>
        <v>0.00016012347017464276</v>
      </c>
      <c r="J7" s="7"/>
    </row>
    <row r="8" spans="1:10" ht="15">
      <c r="A8" s="3">
        <v>2</v>
      </c>
      <c r="B8" s="4" t="s">
        <v>5</v>
      </c>
      <c r="C8" s="6"/>
      <c r="D8" s="6">
        <f>423.2</f>
        <v>423.2</v>
      </c>
      <c r="E8" s="16">
        <f>224.4-64+261.42+4.74</f>
        <v>426.56000000000006</v>
      </c>
      <c r="F8" s="16">
        <v>0</v>
      </c>
      <c r="G8" s="16">
        <f>D8-E8-F8+0.0665</f>
        <v>-3.2935000000000705</v>
      </c>
      <c r="H8" s="6">
        <f t="shared" si="0"/>
        <v>-0.0007469947833976118</v>
      </c>
      <c r="J8" s="7"/>
    </row>
    <row r="9" spans="1:10" ht="15" customHeight="1">
      <c r="A9" s="3">
        <v>3</v>
      </c>
      <c r="B9" s="4" t="s">
        <v>8</v>
      </c>
      <c r="C9" s="5" t="s">
        <v>21</v>
      </c>
      <c r="D9" s="5">
        <f>46858-46068</f>
        <v>790</v>
      </c>
      <c r="E9" s="16">
        <f>655.97+0.45</f>
        <v>656.4200000000001</v>
      </c>
      <c r="F9" s="16">
        <v>0</v>
      </c>
      <c r="G9" s="16">
        <f>14.7821+0.0002</f>
        <v>14.7823</v>
      </c>
      <c r="H9" s="6">
        <f t="shared" si="0"/>
        <v>0.0033527557269222045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1213.2</v>
      </c>
      <c r="E10" s="16">
        <f>619.26+27.52+358.6+77.6</f>
        <v>1082.98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9117+83.496</f>
        <v>9200.496</v>
      </c>
      <c r="E11" s="16">
        <f>7937</f>
        <v>7937</v>
      </c>
      <c r="F11" s="16">
        <v>0</v>
      </c>
      <c r="G11" s="16">
        <f>D11-E11-F11+0.0002</f>
        <v>1263.4961999999991</v>
      </c>
      <c r="H11" s="6">
        <f t="shared" si="0"/>
        <v>0.28657205715581746</v>
      </c>
      <c r="I11" s="8"/>
      <c r="J11" s="7"/>
    </row>
    <row r="12" spans="1:10" ht="15">
      <c r="A12" s="26"/>
      <c r="B12" s="15" t="s">
        <v>15</v>
      </c>
      <c r="C12" s="5"/>
      <c r="D12" s="18">
        <f>9628+255.857</f>
        <v>9883.857</v>
      </c>
      <c r="E12" s="16">
        <f>7727</f>
        <v>7727</v>
      </c>
      <c r="F12" s="16">
        <v>0</v>
      </c>
      <c r="G12" s="16">
        <f>1950.004+0.0006</f>
        <v>1950.0046</v>
      </c>
      <c r="H12" s="6">
        <f t="shared" si="0"/>
        <v>0.44227820367430254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19084.353</v>
      </c>
      <c r="E13" s="17">
        <f>SUM(E11:E12)</f>
        <v>15664</v>
      </c>
      <c r="F13" s="17">
        <f>SUM(F11:F12)</f>
        <v>0</v>
      </c>
      <c r="G13" s="17">
        <f>SUM(G11:G12)</f>
        <v>3213.500799999999</v>
      </c>
      <c r="H13" s="6">
        <f t="shared" si="0"/>
        <v>0.72885026083012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22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34.55</f>
        <v>34.55</v>
      </c>
      <c r="E7" s="12">
        <f>E8*0.0478+0.001212</f>
        <v>20.4816</v>
      </c>
      <c r="F7" s="12">
        <v>0</v>
      </c>
      <c r="G7" s="16">
        <f>14.7821*0.0478-0.0006</f>
        <v>0.70598438</v>
      </c>
      <c r="H7" s="6">
        <f aca="true" t="shared" si="0" ref="H7:H13">G7/4409</f>
        <v>0.00016012347017464276</v>
      </c>
      <c r="J7" s="7"/>
    </row>
    <row r="8" spans="1:10" ht="15">
      <c r="A8" s="3">
        <v>2</v>
      </c>
      <c r="B8" s="4" t="s">
        <v>5</v>
      </c>
      <c r="C8" s="6"/>
      <c r="D8" s="6">
        <f>421.1</f>
        <v>421.1</v>
      </c>
      <c r="E8" s="16">
        <f>224.4-64+266.34+1.72</f>
        <v>428.46000000000004</v>
      </c>
      <c r="F8" s="16">
        <v>0</v>
      </c>
      <c r="G8" s="16">
        <f>D8-E8-F8+0.5585</f>
        <v>-6.801500000000013</v>
      </c>
      <c r="H8" s="6">
        <f t="shared" si="0"/>
        <v>-0.001542640054434115</v>
      </c>
      <c r="J8" s="7"/>
    </row>
    <row r="9" spans="1:10" ht="15" customHeight="1">
      <c r="A9" s="3">
        <v>3</v>
      </c>
      <c r="B9" s="4" t="s">
        <v>8</v>
      </c>
      <c r="C9" s="5" t="s">
        <v>23</v>
      </c>
      <c r="D9" s="5">
        <f>47509-46858</f>
        <v>651</v>
      </c>
      <c r="E9" s="16">
        <f>13.58-3.88+660.84+1.81</f>
        <v>672.35</v>
      </c>
      <c r="F9" s="16">
        <v>0</v>
      </c>
      <c r="G9" s="16">
        <f>D9-E9-F9+0.1386</f>
        <v>-21.211400000000022</v>
      </c>
      <c r="H9" s="6">
        <f t="shared" si="0"/>
        <v>-0.004810932184168751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1072.1</v>
      </c>
      <c r="E10" s="16">
        <f>17.72+644.72+24.18+340.47+73.72</f>
        <v>1100.8100000000002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10360+62.499</f>
        <v>10422.499</v>
      </c>
      <c r="E11" s="16">
        <f>8195</f>
        <v>8195</v>
      </c>
      <c r="F11" s="16">
        <v>0</v>
      </c>
      <c r="G11" s="16">
        <f>D11-E11-F11+0.0005</f>
        <v>2227.4995</v>
      </c>
      <c r="H11" s="6">
        <f t="shared" si="0"/>
        <v>0.5052164889997731</v>
      </c>
      <c r="I11" s="8"/>
      <c r="J11" s="7"/>
    </row>
    <row r="12" spans="1:10" ht="15">
      <c r="A12" s="26"/>
      <c r="B12" s="15" t="s">
        <v>15</v>
      </c>
      <c r="C12" s="5"/>
      <c r="D12" s="18">
        <f>9726+262.693</f>
        <v>9988.693</v>
      </c>
      <c r="E12" s="16">
        <f>7098</f>
        <v>7098</v>
      </c>
      <c r="F12" s="16">
        <v>0</v>
      </c>
      <c r="G12" s="16">
        <f>D12-E12-F12-1904.692+0.0001</f>
        <v>986.0010999999993</v>
      </c>
      <c r="H12" s="6">
        <f t="shared" si="0"/>
        <v>0.2236337264685868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20411.192</v>
      </c>
      <c r="E13" s="17">
        <f>SUM(E11:E12)</f>
        <v>15293</v>
      </c>
      <c r="F13" s="17">
        <f>SUM(F11:F12)</f>
        <v>0</v>
      </c>
      <c r="G13" s="17">
        <f>SUM(G11:G12)</f>
        <v>3213.5005999999994</v>
      </c>
      <c r="H13" s="6">
        <f t="shared" si="0"/>
        <v>0.72885021546836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24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28.8</f>
        <v>28.8</v>
      </c>
      <c r="E7" s="12">
        <f>12.748-3.642285+15.5119+0.0032-0.0004</f>
        <v>24.620415</v>
      </c>
      <c r="F7" s="12">
        <v>0</v>
      </c>
      <c r="G7" s="16">
        <f>G8*0.0631+0.0001</f>
        <v>0.93285682</v>
      </c>
      <c r="H7" s="6">
        <f>G7/4408.7</f>
        <v>0.000211594533535963</v>
      </c>
      <c r="J7" s="7"/>
    </row>
    <row r="8" spans="1:10" ht="15">
      <c r="A8" s="3">
        <v>2</v>
      </c>
      <c r="B8" s="4" t="s">
        <v>5</v>
      </c>
      <c r="C8" s="6"/>
      <c r="D8" s="6">
        <f>407.6</f>
        <v>407.6</v>
      </c>
      <c r="E8" s="16">
        <f>201.96-57.6+245.83+0.05</f>
        <v>390.24000000000007</v>
      </c>
      <c r="F8" s="16">
        <v>0</v>
      </c>
      <c r="G8" s="16">
        <f>14.7821+0.0001</f>
        <v>14.7822</v>
      </c>
      <c r="H8" s="6">
        <f aca="true" t="shared" si="0" ref="H8:H13">G8/4408.7</f>
        <v>0.0033529611903735795</v>
      </c>
      <c r="J8" s="7"/>
    </row>
    <row r="9" spans="1:10" ht="15" customHeight="1">
      <c r="A9" s="3">
        <v>3</v>
      </c>
      <c r="B9" s="4" t="s">
        <v>8</v>
      </c>
      <c r="C9" s="5" t="s">
        <v>25</v>
      </c>
      <c r="D9" s="5">
        <f>48243-47509</f>
        <v>734</v>
      </c>
      <c r="E9" s="16">
        <f>13.58-3.88+581.72+5.8</f>
        <v>597.22</v>
      </c>
      <c r="F9" s="16">
        <v>0</v>
      </c>
      <c r="G9" s="16">
        <f>14.7821+0.0001</f>
        <v>14.7822</v>
      </c>
      <c r="H9" s="6">
        <f t="shared" si="0"/>
        <v>0.0033529611903735795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1141.6</v>
      </c>
      <c r="E10" s="16">
        <f>17.72+573.55+25.47+304.76+65.96</f>
        <v>987.46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7961+16.846</f>
        <v>7977.846</v>
      </c>
      <c r="E11" s="16">
        <f>4423</f>
        <v>4423</v>
      </c>
      <c r="F11" s="16">
        <v>0</v>
      </c>
      <c r="G11" s="16">
        <f>D11-E11-F11-341.346-0.0007</f>
        <v>3213.4992999999995</v>
      </c>
      <c r="H11" s="6">
        <f t="shared" si="0"/>
        <v>0.7288995168643817</v>
      </c>
      <c r="I11" s="8"/>
      <c r="J11" s="7"/>
    </row>
    <row r="12" spans="1:10" ht="15">
      <c r="A12" s="26"/>
      <c r="B12" s="15" t="s">
        <v>15</v>
      </c>
      <c r="C12" s="5"/>
      <c r="D12" s="18">
        <f>7713+195.799</f>
        <v>7908.799</v>
      </c>
      <c r="E12" s="16">
        <f>5909</f>
        <v>5909</v>
      </c>
      <c r="F12" s="16">
        <v>0</v>
      </c>
      <c r="G12" s="16">
        <f>0</f>
        <v>0</v>
      </c>
      <c r="H12" s="6">
        <f t="shared" si="0"/>
        <v>0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15886.645</v>
      </c>
      <c r="E13" s="17">
        <f>SUM(E11:E12)</f>
        <v>10332</v>
      </c>
      <c r="F13" s="17">
        <f>SUM(F11:F12)</f>
        <v>0</v>
      </c>
      <c r="G13" s="17">
        <f>SUM(G11:G12)</f>
        <v>3213.4992999999995</v>
      </c>
      <c r="H13" s="6">
        <f t="shared" si="0"/>
        <v>0.7288995168643817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9" sqref="C9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26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23.18</f>
        <v>23.18</v>
      </c>
      <c r="E7" s="12">
        <f>9.0252-3.008397+12.0839+0.2471+0.0002</f>
        <v>18.348003</v>
      </c>
      <c r="F7" s="12">
        <v>0</v>
      </c>
      <c r="G7" s="16">
        <f>14.7821*0.0455-0.0003</f>
        <v>0.67228555</v>
      </c>
      <c r="H7" s="6">
        <f aca="true" t="shared" si="0" ref="H7:H13">G7/4408.7</f>
        <v>0.00015249065484156327</v>
      </c>
      <c r="J7" s="7"/>
    </row>
    <row r="8" spans="1:10" ht="15">
      <c r="A8" s="3">
        <v>2</v>
      </c>
      <c r="B8" s="4" t="s">
        <v>5</v>
      </c>
      <c r="C8" s="6"/>
      <c r="D8" s="6">
        <f>393.9</f>
        <v>393.9</v>
      </c>
      <c r="E8" s="16">
        <f>198.33-66+265.58+5.43</f>
        <v>403.34</v>
      </c>
      <c r="F8" s="16">
        <v>0</v>
      </c>
      <c r="G8" s="16">
        <f>D8-E8-F8+0.4389</f>
        <v>-9.001099999999997</v>
      </c>
      <c r="H8" s="6">
        <f t="shared" si="0"/>
        <v>-0.002041667611767641</v>
      </c>
      <c r="J8" s="7"/>
    </row>
    <row r="9" spans="1:10" ht="15" customHeight="1">
      <c r="A9" s="3">
        <v>3</v>
      </c>
      <c r="B9" s="4" t="s">
        <v>8</v>
      </c>
      <c r="C9" s="5" t="s">
        <v>27</v>
      </c>
      <c r="D9" s="5">
        <f>571</f>
        <v>571</v>
      </c>
      <c r="E9" s="16">
        <f>14.54-4.84+610.34+8.27</f>
        <v>628.3100000000001</v>
      </c>
      <c r="F9" s="16">
        <v>0</v>
      </c>
      <c r="G9" s="16">
        <f>D9-E9-F9+1.7687</f>
        <v>-55.54130000000006</v>
      </c>
      <c r="H9" s="6">
        <f t="shared" si="0"/>
        <v>-0.012598112822373955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964.9</v>
      </c>
      <c r="E10" s="16">
        <f>26.56-70.84+652.25+12+411.68</f>
        <v>1031.65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7654+4.883</f>
        <v>7658.883</v>
      </c>
      <c r="E11" s="16">
        <f>7467</f>
        <v>7467</v>
      </c>
      <c r="F11" s="16">
        <v>0</v>
      </c>
      <c r="G11" s="16">
        <f>D11-E11-F11-0.0008</f>
        <v>191.8821999999998</v>
      </c>
      <c r="H11" s="6">
        <f t="shared" si="0"/>
        <v>0.0435235330142672</v>
      </c>
      <c r="I11" s="8"/>
      <c r="J11" s="7"/>
    </row>
    <row r="12" spans="1:10" ht="15">
      <c r="A12" s="26"/>
      <c r="B12" s="15" t="s">
        <v>15</v>
      </c>
      <c r="C12" s="5"/>
      <c r="D12" s="18">
        <f>7833+173.094</f>
        <v>8006.094</v>
      </c>
      <c r="E12" s="16">
        <f>5223</f>
        <v>5223</v>
      </c>
      <c r="F12" s="16">
        <v>0</v>
      </c>
      <c r="G12" s="16">
        <f>D12-E12-F12-0.0007</f>
        <v>2783.0933</v>
      </c>
      <c r="H12" s="6">
        <f t="shared" si="0"/>
        <v>0.6312730056479234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15664.976999999999</v>
      </c>
      <c r="E13" s="17">
        <f>SUM(E11:E12)</f>
        <v>12690</v>
      </c>
      <c r="F13" s="17">
        <f>SUM(F11:F12)</f>
        <v>0</v>
      </c>
      <c r="G13" s="17">
        <f>SUM(G11:G12)</f>
        <v>2974.9755</v>
      </c>
      <c r="H13" s="6">
        <f t="shared" si="0"/>
        <v>0.6747965386621907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28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22.3</f>
        <v>22.3</v>
      </c>
      <c r="E7" s="12">
        <f>7.1142-2.032631+10.2362+0.1591-2.55216-0.01</f>
        <v>12.914709</v>
      </c>
      <c r="F7" s="12">
        <v>0</v>
      </c>
      <c r="G7" s="16">
        <f>G8*0.0409-0.0006</f>
        <v>0.6039919799999999</v>
      </c>
      <c r="H7" s="6">
        <f aca="true" t="shared" si="0" ref="H7:H13">G7/4408.7</f>
        <v>0.0001370000181459387</v>
      </c>
      <c r="J7" s="7"/>
    </row>
    <row r="8" spans="1:10" ht="15">
      <c r="A8" s="3">
        <v>2</v>
      </c>
      <c r="B8" s="4" t="s">
        <v>5</v>
      </c>
      <c r="C8" s="6"/>
      <c r="D8" s="6">
        <f>398.5</f>
        <v>398.5</v>
      </c>
      <c r="E8" s="16">
        <f>173.91-49.6+250.03+3.89-62.4</f>
        <v>315.83000000000004</v>
      </c>
      <c r="F8" s="16">
        <v>0</v>
      </c>
      <c r="G8" s="16">
        <f>14.7821+0.0001</f>
        <v>14.7822</v>
      </c>
      <c r="H8" s="6">
        <f t="shared" si="0"/>
        <v>0.0033529611903735795</v>
      </c>
      <c r="J8" s="7"/>
    </row>
    <row r="9" spans="1:10" ht="15" customHeight="1">
      <c r="A9" s="3">
        <v>3</v>
      </c>
      <c r="B9" s="4" t="s">
        <v>8</v>
      </c>
      <c r="C9" s="5" t="s">
        <v>29</v>
      </c>
      <c r="D9" s="5">
        <f>49301-48814</f>
        <v>487</v>
      </c>
      <c r="E9" s="16">
        <f>33.95-9.7+552.2+10.69-81.48</f>
        <v>505.6600000000001</v>
      </c>
      <c r="F9" s="16">
        <v>0</v>
      </c>
      <c r="G9" s="16">
        <f>D9-E9-F9+0.2512</f>
        <v>-18.40880000000008</v>
      </c>
      <c r="H9" s="6">
        <f t="shared" si="0"/>
        <v>-0.004175561957039509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885.5</v>
      </c>
      <c r="E10" s="16">
        <f>62-17.7+627.18+13.09+322.4-41.6-143.88</f>
        <v>821.4899999999999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7441+6.836</f>
        <v>7447.836</v>
      </c>
      <c r="E11" s="16">
        <f>11998-206</f>
        <v>11792</v>
      </c>
      <c r="F11" s="16">
        <v>0</v>
      </c>
      <c r="G11" s="16">
        <f>D11-E11-F11+947.2598</f>
        <v>-3396.9042</v>
      </c>
      <c r="H11" s="6">
        <f t="shared" si="0"/>
        <v>-0.7705001928005988</v>
      </c>
      <c r="I11" s="8"/>
      <c r="J11" s="7"/>
    </row>
    <row r="12" spans="1:10" ht="15">
      <c r="A12" s="26"/>
      <c r="B12" s="15" t="s">
        <v>15</v>
      </c>
      <c r="C12" s="5"/>
      <c r="D12" s="18">
        <f>6849+181.883</f>
        <v>7030.883</v>
      </c>
      <c r="E12" s="16">
        <f>5910</f>
        <v>5910</v>
      </c>
      <c r="F12" s="16">
        <v>0</v>
      </c>
      <c r="G12" s="16">
        <f>D12-E12-F12-749.1374</f>
        <v>371.74559999999985</v>
      </c>
      <c r="H12" s="6">
        <f t="shared" si="0"/>
        <v>0.08432091092612332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14478.719000000001</v>
      </c>
      <c r="E13" s="17">
        <f>SUM(E11:E12)</f>
        <v>17702</v>
      </c>
      <c r="F13" s="17">
        <f>SUM(F11:F12)</f>
        <v>0</v>
      </c>
      <c r="G13" s="17">
        <f>SUM(G11:G12)</f>
        <v>-3025.1586</v>
      </c>
      <c r="H13" s="6">
        <f t="shared" si="0"/>
        <v>-0.6861792818744755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20" sqref="F20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30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20.37</f>
        <v>20.37</v>
      </c>
      <c r="E7" s="12">
        <f>7.502-2.143426+10.0979+0.9035-2.888+0.0004</f>
        <v>13.472374000000002</v>
      </c>
      <c r="F7" s="12">
        <v>0</v>
      </c>
      <c r="G7" s="16">
        <f>17.3529*0.0361-0.0006</f>
        <v>0.6258396900000001</v>
      </c>
      <c r="H7" s="6">
        <f aca="true" t="shared" si="0" ref="H7:H13">G7/4408.7</f>
        <v>0.00014195560822918322</v>
      </c>
      <c r="J7" s="7"/>
    </row>
    <row r="8" spans="1:10" ht="15">
      <c r="A8" s="3">
        <v>2</v>
      </c>
      <c r="B8" s="4" t="s">
        <v>5</v>
      </c>
      <c r="C8" s="6"/>
      <c r="D8" s="6">
        <f>378.5</f>
        <v>378.5</v>
      </c>
      <c r="E8" s="16">
        <f>207.57-59.2+279.72+25.03-80</f>
        <v>373.12</v>
      </c>
      <c r="F8" s="16">
        <v>0</v>
      </c>
      <c r="G8" s="19">
        <f>D8-E8-F8-0.001</f>
        <v>5.378999999999995</v>
      </c>
      <c r="H8" s="6">
        <f t="shared" si="0"/>
        <v>0.0012200875541542849</v>
      </c>
      <c r="J8" s="7"/>
    </row>
    <row r="9" spans="1:10" ht="15" customHeight="1">
      <c r="A9" s="3">
        <v>3</v>
      </c>
      <c r="B9" s="4" t="s">
        <v>8</v>
      </c>
      <c r="C9" s="5" t="s">
        <v>31</v>
      </c>
      <c r="D9" s="5">
        <f>50079-49301</f>
        <v>778</v>
      </c>
      <c r="E9" s="16">
        <f>81.48-23.28+577.59+41.64-104.76</f>
        <v>572.6700000000001</v>
      </c>
      <c r="F9" s="16">
        <v>0</v>
      </c>
      <c r="G9" s="16">
        <f>17.3529-0.0001</f>
        <v>17.352800000000002</v>
      </c>
      <c r="H9" s="6">
        <f t="shared" si="0"/>
        <v>0.0039360355660398765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1156.5</v>
      </c>
      <c r="E10" s="16">
        <f>86.8-24.78+631.58+60.65-184.76+372-48+62-9.7</f>
        <v>945.79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8013+17.334</f>
        <v>8030.334</v>
      </c>
      <c r="E11" s="16">
        <f>9429</f>
        <v>9429</v>
      </c>
      <c r="F11" s="16">
        <v>0</v>
      </c>
      <c r="G11" s="16">
        <f>D11-E11-F11-0.0001</f>
        <v>-1398.6661000000001</v>
      </c>
      <c r="H11" s="6">
        <f t="shared" si="0"/>
        <v>-0.3172513666160093</v>
      </c>
      <c r="I11" s="8"/>
      <c r="J11" s="7"/>
    </row>
    <row r="12" spans="1:10" ht="15">
      <c r="A12" s="26"/>
      <c r="B12" s="15" t="s">
        <v>15</v>
      </c>
      <c r="C12" s="5"/>
      <c r="D12" s="18">
        <f>7215</f>
        <v>7215</v>
      </c>
      <c r="E12" s="16">
        <f>3604</f>
        <v>3604</v>
      </c>
      <c r="F12" s="16">
        <v>0</v>
      </c>
      <c r="G12" s="16">
        <f>D12-E12-F12</f>
        <v>3611</v>
      </c>
      <c r="H12" s="6">
        <f t="shared" si="0"/>
        <v>0.8190623086170526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15245.333999999999</v>
      </c>
      <c r="E13" s="17">
        <f>SUM(E11:E12)</f>
        <v>13033</v>
      </c>
      <c r="F13" s="17">
        <f>SUM(F11:F12)</f>
        <v>0</v>
      </c>
      <c r="G13" s="17">
        <f>SUM(G11:G12)</f>
        <v>2212.3338999999996</v>
      </c>
      <c r="H13" s="6">
        <f t="shared" si="0"/>
        <v>0.5018109420010434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J35"/>
  <sheetViews>
    <sheetView workbookViewId="0" topLeftCell="A1">
      <pane xSplit="3" ySplit="10" topLeftCell="D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5" sqref="D5:D6"/>
    </sheetView>
  </sheetViews>
  <sheetFormatPr defaultColWidth="9.140625" defaultRowHeight="15"/>
  <cols>
    <col min="1" max="1" width="4.7109375" style="0" customWidth="1"/>
    <col min="2" max="2" width="24.00390625" style="0" customWidth="1"/>
    <col min="3" max="3" width="18.8515625" style="0" customWidth="1"/>
    <col min="4" max="4" width="15.28125" style="0" customWidth="1"/>
    <col min="5" max="5" width="17.00390625" style="0" customWidth="1"/>
    <col min="6" max="6" width="15.7109375" style="0" customWidth="1"/>
    <col min="7" max="7" width="12.7109375" style="0" customWidth="1"/>
    <col min="8" max="8" width="12.00390625" style="0" customWidth="1"/>
    <col min="9" max="9" width="9.57421875" style="0" bestFit="1" customWidth="1"/>
  </cols>
  <sheetData>
    <row r="3" spans="2:3" ht="15.75">
      <c r="B3" s="9" t="s">
        <v>32</v>
      </c>
      <c r="C3" s="9"/>
    </row>
    <row r="4" spans="1:8" ht="15">
      <c r="A4" s="30" t="s">
        <v>10</v>
      </c>
      <c r="B4" s="30"/>
      <c r="C4" s="30"/>
      <c r="D4" s="30"/>
      <c r="E4" s="30"/>
      <c r="F4" s="30"/>
      <c r="G4" s="30"/>
      <c r="H4" s="30"/>
    </row>
    <row r="5" spans="1:8" ht="70.5" customHeight="1">
      <c r="A5" s="31" t="s">
        <v>0</v>
      </c>
      <c r="B5" s="28" t="s">
        <v>1</v>
      </c>
      <c r="C5" s="31" t="s">
        <v>2</v>
      </c>
      <c r="D5" s="31" t="s">
        <v>11</v>
      </c>
      <c r="E5" s="31" t="s">
        <v>12</v>
      </c>
      <c r="F5" s="31" t="s">
        <v>13</v>
      </c>
      <c r="G5" s="31" t="s">
        <v>3</v>
      </c>
      <c r="H5" s="28" t="s">
        <v>4</v>
      </c>
    </row>
    <row r="6" spans="1:8" ht="33.75" customHeight="1">
      <c r="A6" s="32"/>
      <c r="B6" s="29"/>
      <c r="C6" s="32"/>
      <c r="D6" s="32"/>
      <c r="E6" s="32"/>
      <c r="F6" s="32"/>
      <c r="G6" s="32"/>
      <c r="H6" s="29"/>
    </row>
    <row r="7" spans="1:10" ht="15">
      <c r="A7" s="13">
        <v>1</v>
      </c>
      <c r="B7" s="14" t="s">
        <v>9</v>
      </c>
      <c r="C7" s="13"/>
      <c r="D7" s="12">
        <f>21.47</f>
        <v>21.47</v>
      </c>
      <c r="E7" s="12">
        <f>10.15-2.900002+10.2997+2.7706-0.0012</f>
        <v>20.319098</v>
      </c>
      <c r="F7" s="12">
        <v>0</v>
      </c>
      <c r="G7" s="16">
        <f>17.3529*0.0517</f>
        <v>0.8971449300000002</v>
      </c>
      <c r="H7" s="6">
        <f aca="true" t="shared" si="0" ref="H7:H13">G7/4408.7</f>
        <v>0.0002034942114455509</v>
      </c>
      <c r="J7" s="7"/>
    </row>
    <row r="8" spans="1:10" ht="15">
      <c r="A8" s="3">
        <v>2</v>
      </c>
      <c r="B8" s="4" t="s">
        <v>5</v>
      </c>
      <c r="C8" s="6"/>
      <c r="D8" s="6">
        <f>356.2</f>
        <v>356.2</v>
      </c>
      <c r="E8" s="16">
        <f>196.35-56+199.22+53.59</f>
        <v>393.15999999999997</v>
      </c>
      <c r="F8" s="16">
        <v>0</v>
      </c>
      <c r="G8" s="16">
        <f>D8-E8-F8+3.7342</f>
        <v>-33.22579999999998</v>
      </c>
      <c r="H8" s="6">
        <f t="shared" si="0"/>
        <v>-0.007536416630752825</v>
      </c>
      <c r="J8" s="7"/>
    </row>
    <row r="9" spans="1:10" ht="15" customHeight="1">
      <c r="A9" s="3">
        <v>3</v>
      </c>
      <c r="B9" s="4" t="s">
        <v>8</v>
      </c>
      <c r="C9" s="5" t="s">
        <v>33</v>
      </c>
      <c r="D9" s="5">
        <f>50730-50079</f>
        <v>651</v>
      </c>
      <c r="E9" s="16">
        <f>81.48-23.28+457.03+45.98</f>
        <v>561.21</v>
      </c>
      <c r="F9" s="16">
        <v>0</v>
      </c>
      <c r="G9" s="16">
        <f>17.3529-0.0001</f>
        <v>17.352800000000002</v>
      </c>
      <c r="H9" s="6">
        <f t="shared" si="0"/>
        <v>0.0039360355660398765</v>
      </c>
      <c r="J9" s="7"/>
    </row>
    <row r="10" spans="1:10" ht="15" customHeight="1">
      <c r="A10" s="3">
        <v>4</v>
      </c>
      <c r="B10" s="4" t="s">
        <v>6</v>
      </c>
      <c r="C10" s="5"/>
      <c r="D10" s="5">
        <f>D8+D9</f>
        <v>1007.2</v>
      </c>
      <c r="E10" s="16">
        <f>86.8-24.78+448.89+88.76+347.2-44.8+62-9.7</f>
        <v>954.3699999999999</v>
      </c>
      <c r="F10" s="16">
        <f>F8+F9</f>
        <v>0</v>
      </c>
      <c r="G10" s="16">
        <v>0</v>
      </c>
      <c r="H10" s="6">
        <f t="shared" si="0"/>
        <v>0</v>
      </c>
      <c r="I10" s="8"/>
      <c r="J10" s="7"/>
    </row>
    <row r="11" spans="1:10" ht="15">
      <c r="A11" s="25">
        <v>5</v>
      </c>
      <c r="B11" s="15" t="s">
        <v>14</v>
      </c>
      <c r="C11" s="5"/>
      <c r="D11" s="18">
        <f>10116+49.316</f>
        <v>10165.316</v>
      </c>
      <c r="E11" s="16">
        <f>12957-2709</f>
        <v>10248</v>
      </c>
      <c r="F11" s="16">
        <v>0</v>
      </c>
      <c r="G11" s="16">
        <f>D11-E11-F11+0.0006</f>
        <v>-82.68339999999928</v>
      </c>
      <c r="H11" s="6">
        <f t="shared" si="0"/>
        <v>-0.018754598861342182</v>
      </c>
      <c r="I11" s="8"/>
      <c r="J11" s="7"/>
    </row>
    <row r="12" spans="1:10" ht="15">
      <c r="A12" s="26"/>
      <c r="B12" s="15" t="s">
        <v>15</v>
      </c>
      <c r="C12" s="5"/>
      <c r="D12" s="18">
        <f>9887</f>
        <v>9887</v>
      </c>
      <c r="E12" s="16">
        <f>6798</f>
        <v>6798</v>
      </c>
      <c r="F12" s="16">
        <v>0</v>
      </c>
      <c r="G12" s="16">
        <f>D12-E12-F12-0.0003</f>
        <v>3088.9997</v>
      </c>
      <c r="H12" s="6">
        <f t="shared" si="0"/>
        <v>0.7006599904733821</v>
      </c>
      <c r="I12" s="8"/>
      <c r="J12" s="7"/>
    </row>
    <row r="13" spans="1:10" ht="15">
      <c r="A13" s="27"/>
      <c r="B13" s="10" t="s">
        <v>7</v>
      </c>
      <c r="C13" s="10"/>
      <c r="D13" s="11">
        <f>SUM(D11:D12)</f>
        <v>20052.316</v>
      </c>
      <c r="E13" s="17">
        <f>SUM(E11:E12)</f>
        <v>17046</v>
      </c>
      <c r="F13" s="17">
        <f>SUM(F11:F12)</f>
        <v>0</v>
      </c>
      <c r="G13" s="17">
        <f>SUM(G11:G12)</f>
        <v>3006.3163000000004</v>
      </c>
      <c r="H13" s="6">
        <f t="shared" si="0"/>
        <v>0.68190539161204</v>
      </c>
      <c r="I13" s="8"/>
      <c r="J13" s="7"/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/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</sheetData>
  <sheetProtection/>
  <mergeCells count="10">
    <mergeCell ref="A11:A13"/>
    <mergeCell ref="H5:H6"/>
    <mergeCell ref="A4:H4"/>
    <mergeCell ref="A5:A6"/>
    <mergeCell ref="B5:B6"/>
    <mergeCell ref="C5:C6"/>
    <mergeCell ref="D5:D6"/>
    <mergeCell ref="E5:E6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2012-12-03T10:41:47Z</cp:lastPrinted>
  <dcterms:created xsi:type="dcterms:W3CDTF">2006-09-16T00:00:00Z</dcterms:created>
  <dcterms:modified xsi:type="dcterms:W3CDTF">2017-01-31T12:05:00Z</dcterms:modified>
  <cp:category/>
  <cp:version/>
  <cp:contentType/>
  <cp:contentStatus/>
</cp:coreProperties>
</file>