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41 (январь)  " sheetId="1" r:id="rId1"/>
    <sheet name="41 (февраль)" sheetId="2" r:id="rId2"/>
    <sheet name="41 (март)" sheetId="3" r:id="rId3"/>
    <sheet name="41 (апрель)" sheetId="4" r:id="rId4"/>
    <sheet name="41 (май)" sheetId="5" r:id="rId5"/>
    <sheet name="41 (июнь)" sheetId="6" r:id="rId6"/>
    <sheet name="41 (июль) " sheetId="7" r:id="rId7"/>
    <sheet name="41 (август)" sheetId="8" r:id="rId8"/>
    <sheet name="41 (сентябрь)" sheetId="9" r:id="rId9"/>
    <sheet name="41 (октябрь)" sheetId="10" r:id="rId10"/>
    <sheet name="41 (ноябрь)" sheetId="11" r:id="rId11"/>
    <sheet name="41 (декабрь)" sheetId="12" r:id="rId12"/>
  </sheets>
  <definedNames/>
  <calcPr fullCalcOnLoad="1"/>
</workbook>
</file>

<file path=xl/sharedStrings.xml><?xml version="1.0" encoding="utf-8"?>
<sst xmlns="http://schemas.openxmlformats.org/spreadsheetml/2006/main" count="324" uniqueCount="52">
  <si>
    <t xml:space="preserve"> </t>
  </si>
  <si>
    <t>Услуга</t>
  </si>
  <si>
    <t xml:space="preserve">показания общедомового прибора учета </t>
  </si>
  <si>
    <t>итого к предъявлению ОДН</t>
  </si>
  <si>
    <t>на 1 кв.м</t>
  </si>
  <si>
    <t>показания прибора учета (моп, лифты, дымоудаление)</t>
  </si>
  <si>
    <t>Ухтомская 41</t>
  </si>
  <si>
    <t>ГВС (тонн)</t>
  </si>
  <si>
    <t>водоотведение(тонн)</t>
  </si>
  <si>
    <t>показание 1</t>
  </si>
  <si>
    <t>показание 2</t>
  </si>
  <si>
    <t>итого по эл.эн.</t>
  </si>
  <si>
    <t>эл.эн.день № сч.191497</t>
  </si>
  <si>
    <t>эл.эн.ночь № сч.191497</t>
  </si>
  <si>
    <t xml:space="preserve">объем потребления </t>
  </si>
  <si>
    <t xml:space="preserve">начисление по индивидуальным приборам учета и нормативу </t>
  </si>
  <si>
    <t xml:space="preserve">начисление сторонним потребителям </t>
  </si>
  <si>
    <t>эл.эн.день № сч.333113</t>
  </si>
  <si>
    <t>эл.эн.ночь № сч.333113</t>
  </si>
  <si>
    <t>в т.ч. день</t>
  </si>
  <si>
    <t>в т.ч. ночь</t>
  </si>
  <si>
    <t>ХВС (тонн)</t>
  </si>
  <si>
    <t>нагрев воды (Г.кал.)</t>
  </si>
  <si>
    <t>эл.эн.день № сч.620454</t>
  </si>
  <si>
    <t>эл.эн.ночь № сч.620454</t>
  </si>
  <si>
    <t>Объем коммунальных услуг по показаниям общедомовых приборов учета (ОДН) за январь в феврале 2014г.</t>
  </si>
  <si>
    <t>23692,/24230</t>
  </si>
  <si>
    <t>Объем коммунальных услуг по показаниям общедомовых приборов учета (ОДН) за февраль в марте 2014г.</t>
  </si>
  <si>
    <t>24230,/25051</t>
  </si>
  <si>
    <t>Объем коммунальных услуг по показаниям общедомовых приборов учета (ОДН) за март в апреле 2014г.</t>
  </si>
  <si>
    <t>25051,/25769</t>
  </si>
  <si>
    <t>Объем коммунальных услуг по показаниям общедомовых приборов учета (ОДН) за апрель в мае 2014г.</t>
  </si>
  <si>
    <t>ГВС (м3)</t>
  </si>
  <si>
    <t>ХВС (м3)</t>
  </si>
  <si>
    <t>25769,/26601</t>
  </si>
  <si>
    <t>водоотведение(м3)</t>
  </si>
  <si>
    <t>Объем коммунальных услуг по показаниям общедомовых приборов учета (ОДН) за май в июне 2014г.</t>
  </si>
  <si>
    <t>26601,/27447</t>
  </si>
  <si>
    <t>Объем коммунальных услуг по показаниям общедомовых приборов учета (ОДН) за июнь в июле 2014г.</t>
  </si>
  <si>
    <t>27447,/28250</t>
  </si>
  <si>
    <t>Объем коммунальных услуг по показаниям общедомовых приборов учета (ОДН) за июль в августе 2014г.</t>
  </si>
  <si>
    <t>28250,/29016</t>
  </si>
  <si>
    <t>Объем коммунальных услуг по показаниям общедомовых приборов учета (ОДН) за август в сентябре 2014г.</t>
  </si>
  <si>
    <t>29016,/29879</t>
  </si>
  <si>
    <t>Объем коммунальных услуг по показаниям общедомовых приборов учета (ОДН) за сентябрь в октябре 2014г.</t>
  </si>
  <si>
    <t>29879,/30688</t>
  </si>
  <si>
    <t>Объем коммунальных услуг по показаниям общедомовых приборов учета (ОДН) за октябрь в ноябре 2014г.</t>
  </si>
  <si>
    <t>30688,/31533</t>
  </si>
  <si>
    <t>Объем коммунальных услуг по показаниям общедомовых приборов учета (ОДН) за ноябрь в декабре 2014г.</t>
  </si>
  <si>
    <t>31533,/32393</t>
  </si>
  <si>
    <t>Объем коммунальных услуг по показаниям общедомовых приборов учета (ОДН) за декабрь в январе 2015г.</t>
  </si>
  <si>
    <t>32393,/33442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</si>
</sst>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24" borderId="10" xfId="0" applyNumberForma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25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f>40.74</f>
        <v>40.74</v>
      </c>
      <c r="G7" s="23">
        <f>G8*0.0478</f>
        <v>29.07674</v>
      </c>
      <c r="H7" s="23">
        <v>0</v>
      </c>
      <c r="I7" s="23">
        <f>I8*0.0478</f>
        <v>1.0316769600000002</v>
      </c>
      <c r="J7" s="7">
        <f aca="true" t="shared" si="0" ref="J7:J19">I7/6861.7</f>
        <v>0.00015035296792340093</v>
      </c>
      <c r="L7" s="9"/>
    </row>
    <row r="8" spans="1:12" ht="15">
      <c r="A8" s="3">
        <v>2</v>
      </c>
      <c r="B8" s="4" t="s">
        <v>7</v>
      </c>
      <c r="C8" s="7"/>
      <c r="D8" s="5"/>
      <c r="E8" s="5"/>
      <c r="F8" s="7">
        <f>657.59</f>
        <v>657.59</v>
      </c>
      <c r="G8" s="6">
        <v>608.3</v>
      </c>
      <c r="H8" s="6">
        <v>0</v>
      </c>
      <c r="I8" s="6">
        <v>21.5832</v>
      </c>
      <c r="J8" s="7">
        <f t="shared" si="0"/>
        <v>0.003145459579987467</v>
      </c>
      <c r="L8" s="9"/>
    </row>
    <row r="9" spans="1:12" ht="15">
      <c r="A9" s="3">
        <v>3</v>
      </c>
      <c r="B9" s="4" t="s">
        <v>21</v>
      </c>
      <c r="C9" s="6" t="s">
        <v>26</v>
      </c>
      <c r="D9" s="5"/>
      <c r="E9" s="5"/>
      <c r="F9" s="6">
        <f>538</f>
        <v>538</v>
      </c>
      <c r="G9" s="6">
        <f>836.23</f>
        <v>836.23</v>
      </c>
      <c r="H9" s="6">
        <f>5+6</f>
        <v>11</v>
      </c>
      <c r="I9" s="6">
        <f>F9-G9-H9</f>
        <v>-309.23</v>
      </c>
      <c r="J9" s="7">
        <f t="shared" si="0"/>
        <v>-0.04506609149336171</v>
      </c>
      <c r="L9" s="9"/>
    </row>
    <row r="10" spans="1:12" ht="15">
      <c r="A10" s="3">
        <v>4</v>
      </c>
      <c r="B10" s="4" t="s">
        <v>8</v>
      </c>
      <c r="C10" s="6"/>
      <c r="D10" s="5"/>
      <c r="E10" s="5"/>
      <c r="F10" s="6">
        <f>F8+F9</f>
        <v>1195.5900000000001</v>
      </c>
      <c r="G10" s="6">
        <f>1444.53</f>
        <v>1444.53</v>
      </c>
      <c r="H10" s="6">
        <f>H8+H9</f>
        <v>11</v>
      </c>
      <c r="I10" s="10">
        <v>0</v>
      </c>
      <c r="J10" s="7">
        <f t="shared" si="0"/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f>32049-6339</f>
        <v>25710</v>
      </c>
      <c r="E11" s="5">
        <f>33507-7025</f>
        <v>26482</v>
      </c>
      <c r="F11" s="7">
        <f>(E11-D11)*1</f>
        <v>772</v>
      </c>
      <c r="G11" s="6">
        <v>0</v>
      </c>
      <c r="H11" s="6">
        <v>0</v>
      </c>
      <c r="I11" s="6">
        <f aca="true" t="shared" si="1" ref="I11:I16">F11-G11-H11</f>
        <v>772</v>
      </c>
      <c r="J11" s="7">
        <f t="shared" si="0"/>
        <v>0.11250856201815877</v>
      </c>
      <c r="K11" s="11"/>
      <c r="L11" s="9"/>
    </row>
    <row r="12" spans="1:12" ht="15">
      <c r="A12" s="33"/>
      <c r="B12" s="4" t="s">
        <v>13</v>
      </c>
      <c r="C12" s="6"/>
      <c r="D12" s="5">
        <f>56062-18552</f>
        <v>37510</v>
      </c>
      <c r="E12" s="5">
        <f>58963-20154</f>
        <v>38809</v>
      </c>
      <c r="F12" s="7">
        <f>(E12-D12)*1</f>
        <v>1299</v>
      </c>
      <c r="G12" s="6">
        <v>0</v>
      </c>
      <c r="H12" s="6">
        <v>0</v>
      </c>
      <c r="I12" s="6">
        <f t="shared" si="1"/>
        <v>1299</v>
      </c>
      <c r="J12" s="7">
        <f t="shared" si="0"/>
        <v>0.1893116866082749</v>
      </c>
      <c r="K12" s="11"/>
      <c r="L12" s="9"/>
    </row>
    <row r="13" spans="1:12" ht="15">
      <c r="A13" s="33"/>
      <c r="B13" s="4" t="s">
        <v>17</v>
      </c>
      <c r="C13" s="6"/>
      <c r="D13" s="5">
        <v>2179</v>
      </c>
      <c r="E13" s="5">
        <v>2259</v>
      </c>
      <c r="F13" s="7">
        <f>(E13-D13)*20</f>
        <v>1600</v>
      </c>
      <c r="G13" s="6">
        <v>0</v>
      </c>
      <c r="H13" s="6">
        <v>0</v>
      </c>
      <c r="I13" s="6">
        <f t="shared" si="1"/>
        <v>1600</v>
      </c>
      <c r="J13" s="7">
        <f t="shared" si="0"/>
        <v>0.233178366877013</v>
      </c>
      <c r="K13" s="11"/>
      <c r="L13" s="9"/>
    </row>
    <row r="14" spans="1:10" ht="15">
      <c r="A14" s="33"/>
      <c r="B14" s="4" t="s">
        <v>18</v>
      </c>
      <c r="C14" s="6"/>
      <c r="D14" s="5">
        <v>2469</v>
      </c>
      <c r="E14" s="5">
        <v>2578</v>
      </c>
      <c r="F14" s="7">
        <f>(E14-D14)*20</f>
        <v>2180</v>
      </c>
      <c r="G14" s="6">
        <v>0</v>
      </c>
      <c r="H14" s="6">
        <v>0</v>
      </c>
      <c r="I14" s="6">
        <f t="shared" si="1"/>
        <v>2180</v>
      </c>
      <c r="J14" s="7">
        <f t="shared" si="0"/>
        <v>0.3177055248699302</v>
      </c>
    </row>
    <row r="15" spans="1:10" ht="15">
      <c r="A15" s="33"/>
      <c r="B15" s="4" t="s">
        <v>23</v>
      </c>
      <c r="C15" s="6"/>
      <c r="D15" s="5">
        <v>2407</v>
      </c>
      <c r="E15" s="5">
        <v>2668</v>
      </c>
      <c r="F15" s="7">
        <f>(E15-D15)*1</f>
        <v>261</v>
      </c>
      <c r="G15" s="6">
        <v>0</v>
      </c>
      <c r="H15" s="6">
        <v>0</v>
      </c>
      <c r="I15" s="6">
        <f t="shared" si="1"/>
        <v>261</v>
      </c>
      <c r="J15" s="7">
        <f t="shared" si="0"/>
        <v>0.03803722109681274</v>
      </c>
    </row>
    <row r="16" spans="1:10" ht="15">
      <c r="A16" s="33"/>
      <c r="B16" s="4" t="s">
        <v>24</v>
      </c>
      <c r="C16" s="6"/>
      <c r="D16" s="5">
        <v>7046</v>
      </c>
      <c r="E16" s="5">
        <v>7654</v>
      </c>
      <c r="F16" s="7">
        <f>(E16-D16)*1</f>
        <v>608</v>
      </c>
      <c r="G16" s="6">
        <v>0</v>
      </c>
      <c r="H16" s="6">
        <v>0</v>
      </c>
      <c r="I16" s="6">
        <f t="shared" si="1"/>
        <v>608</v>
      </c>
      <c r="J16" s="7">
        <f t="shared" si="0"/>
        <v>0.08860777941326493</v>
      </c>
    </row>
    <row r="17" spans="1:10" ht="15">
      <c r="A17" s="33"/>
      <c r="B17" s="19" t="s">
        <v>11</v>
      </c>
      <c r="C17" s="20"/>
      <c r="D17" s="8"/>
      <c r="E17" s="20"/>
      <c r="F17" s="21">
        <f>SUM(F11:F16)</f>
        <v>6720</v>
      </c>
      <c r="G17" s="21">
        <f>SUM(G11:G16)</f>
        <v>0</v>
      </c>
      <c r="H17" s="21">
        <f>SUM(H11:H16)</f>
        <v>0</v>
      </c>
      <c r="I17" s="21">
        <f>SUM(I11:I16)</f>
        <v>6720</v>
      </c>
      <c r="J17" s="7">
        <f t="shared" si="0"/>
        <v>0.9793491408834546</v>
      </c>
    </row>
    <row r="18" spans="1:10" ht="15">
      <c r="A18" s="33"/>
      <c r="B18" s="22" t="s">
        <v>19</v>
      </c>
      <c r="C18" s="12"/>
      <c r="D18" s="8"/>
      <c r="E18" s="12"/>
      <c r="F18" s="21">
        <f aca="true" t="shared" si="2" ref="F18:I19">F11+F13+F15</f>
        <v>2633</v>
      </c>
      <c r="G18" s="21">
        <f t="shared" si="2"/>
        <v>0</v>
      </c>
      <c r="H18" s="21">
        <f t="shared" si="2"/>
        <v>0</v>
      </c>
      <c r="I18" s="21">
        <f t="shared" si="2"/>
        <v>2633</v>
      </c>
      <c r="J18" s="7">
        <f t="shared" si="0"/>
        <v>0.3837241499919845</v>
      </c>
    </row>
    <row r="19" spans="1:10" ht="15">
      <c r="A19" s="34"/>
      <c r="B19" s="22" t="s">
        <v>20</v>
      </c>
      <c r="C19" s="12"/>
      <c r="D19" s="8"/>
      <c r="E19" s="12"/>
      <c r="F19" s="21">
        <f t="shared" si="2"/>
        <v>4087</v>
      </c>
      <c r="G19" s="21">
        <f t="shared" si="2"/>
        <v>0</v>
      </c>
      <c r="H19" s="21">
        <f t="shared" si="2"/>
        <v>0</v>
      </c>
      <c r="I19" s="21">
        <f t="shared" si="2"/>
        <v>4087</v>
      </c>
      <c r="J19" s="7">
        <f t="shared" si="0"/>
        <v>0.59562499089147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A11:A19"/>
    <mergeCell ref="J5:J6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46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v>38.51</v>
      </c>
      <c r="G7" s="23">
        <v>38.49812</v>
      </c>
      <c r="H7" s="23">
        <v>0</v>
      </c>
      <c r="I7" s="6">
        <v>0.011879999999997892</v>
      </c>
      <c r="J7" s="7">
        <v>1.7313493740615143E-06</v>
      </c>
      <c r="L7" s="9"/>
    </row>
    <row r="8" spans="1:12" ht="15">
      <c r="A8" s="3">
        <v>2</v>
      </c>
      <c r="B8" s="4" t="s">
        <v>32</v>
      </c>
      <c r="C8" s="7"/>
      <c r="D8" s="5"/>
      <c r="E8" s="5"/>
      <c r="F8" s="7">
        <v>745.52</v>
      </c>
      <c r="G8" s="6">
        <v>805.4</v>
      </c>
      <c r="H8" s="6">
        <v>0</v>
      </c>
      <c r="I8" s="6">
        <v>-59.879999999999995</v>
      </c>
      <c r="J8" s="7">
        <v>-0.00872670038037221</v>
      </c>
      <c r="L8" s="9"/>
    </row>
    <row r="9" spans="1:12" ht="15">
      <c r="A9" s="3">
        <v>3</v>
      </c>
      <c r="B9" s="4" t="s">
        <v>33</v>
      </c>
      <c r="C9" s="6" t="s">
        <v>47</v>
      </c>
      <c r="D9" s="5"/>
      <c r="E9" s="5"/>
      <c r="F9" s="6">
        <v>845</v>
      </c>
      <c r="G9" s="6">
        <v>661.39</v>
      </c>
      <c r="H9" s="6">
        <v>15</v>
      </c>
      <c r="I9" s="6">
        <v>21.5832</v>
      </c>
      <c r="J9" s="7">
        <v>0.003145459579987467</v>
      </c>
      <c r="L9" s="9"/>
    </row>
    <row r="10" spans="1:12" ht="15">
      <c r="A10" s="3">
        <v>4</v>
      </c>
      <c r="B10" s="4" t="s">
        <v>35</v>
      </c>
      <c r="C10" s="6"/>
      <c r="D10" s="5"/>
      <c r="E10" s="5"/>
      <c r="F10" s="6">
        <v>1590.52</v>
      </c>
      <c r="G10" s="6">
        <v>1466.79</v>
      </c>
      <c r="H10" s="6">
        <v>15</v>
      </c>
      <c r="I10" s="10">
        <v>0</v>
      </c>
      <c r="J10" s="7"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v>32019</v>
      </c>
      <c r="E11" s="5">
        <v>32730</v>
      </c>
      <c r="F11" s="7">
        <v>711</v>
      </c>
      <c r="G11" s="6">
        <v>0</v>
      </c>
      <c r="H11" s="6">
        <v>0</v>
      </c>
      <c r="I11" s="6">
        <v>711</v>
      </c>
      <c r="J11" s="7">
        <v>0.10361863678097265</v>
      </c>
      <c r="K11" s="11"/>
      <c r="L11" s="9"/>
    </row>
    <row r="12" spans="1:12" ht="15">
      <c r="A12" s="33"/>
      <c r="B12" s="4" t="s">
        <v>13</v>
      </c>
      <c r="C12" s="6"/>
      <c r="D12" s="5">
        <v>46124</v>
      </c>
      <c r="E12" s="5">
        <v>46945</v>
      </c>
      <c r="F12" s="7">
        <v>821</v>
      </c>
      <c r="G12" s="6">
        <v>0</v>
      </c>
      <c r="H12" s="6">
        <v>0</v>
      </c>
      <c r="I12" s="6">
        <v>821</v>
      </c>
      <c r="J12" s="7">
        <v>0.11964964950376729</v>
      </c>
      <c r="K12" s="11"/>
      <c r="L12" s="9"/>
    </row>
    <row r="13" spans="1:12" ht="15">
      <c r="A13" s="33"/>
      <c r="B13" s="4" t="s">
        <v>17</v>
      </c>
      <c r="C13" s="6"/>
      <c r="D13" s="5">
        <v>2790</v>
      </c>
      <c r="E13" s="5">
        <v>2854</v>
      </c>
      <c r="F13" s="7">
        <v>1280</v>
      </c>
      <c r="G13" s="6">
        <v>0</v>
      </c>
      <c r="H13" s="6">
        <v>0</v>
      </c>
      <c r="I13" s="6">
        <v>1280</v>
      </c>
      <c r="J13" s="7">
        <v>0.1865426935016104</v>
      </c>
      <c r="K13" s="11"/>
      <c r="L13" s="9"/>
    </row>
    <row r="14" spans="1:10" ht="15">
      <c r="A14" s="33"/>
      <c r="B14" s="4" t="s">
        <v>18</v>
      </c>
      <c r="C14" s="6"/>
      <c r="D14" s="5">
        <v>3117</v>
      </c>
      <c r="E14" s="5">
        <v>3171</v>
      </c>
      <c r="F14" s="7">
        <v>1080</v>
      </c>
      <c r="G14" s="6">
        <v>0</v>
      </c>
      <c r="H14" s="6">
        <v>0</v>
      </c>
      <c r="I14" s="6">
        <v>1080</v>
      </c>
      <c r="J14" s="7">
        <v>0.15739539764198376</v>
      </c>
    </row>
    <row r="15" spans="1:10" ht="15">
      <c r="A15" s="33"/>
      <c r="B15" s="4" t="s">
        <v>23</v>
      </c>
      <c r="C15" s="6"/>
      <c r="D15" s="5">
        <v>3184.5</v>
      </c>
      <c r="E15" s="5">
        <v>3307.48</v>
      </c>
      <c r="F15" s="7">
        <v>123.00000000000001</v>
      </c>
      <c r="G15" s="6">
        <v>0</v>
      </c>
      <c r="H15" s="6">
        <v>0</v>
      </c>
      <c r="I15" s="6">
        <v>123.00000000000001</v>
      </c>
      <c r="J15" s="7">
        <v>0.017925586953670376</v>
      </c>
    </row>
    <row r="16" spans="1:10" ht="15">
      <c r="A16" s="33"/>
      <c r="B16" s="4" t="s">
        <v>24</v>
      </c>
      <c r="C16" s="6"/>
      <c r="D16" s="5">
        <v>10309</v>
      </c>
      <c r="E16" s="5">
        <v>10632</v>
      </c>
      <c r="F16" s="7">
        <v>323</v>
      </c>
      <c r="G16" s="6">
        <v>0</v>
      </c>
      <c r="H16" s="6">
        <v>0</v>
      </c>
      <c r="I16" s="6">
        <v>323</v>
      </c>
      <c r="J16" s="7">
        <v>0.047072882813296996</v>
      </c>
    </row>
    <row r="17" spans="1:10" ht="15">
      <c r="A17" s="33"/>
      <c r="B17" s="19" t="s">
        <v>11</v>
      </c>
      <c r="C17" s="20"/>
      <c r="D17" s="8"/>
      <c r="E17" s="20"/>
      <c r="F17" s="21">
        <v>4338</v>
      </c>
      <c r="G17" s="21">
        <v>0</v>
      </c>
      <c r="H17" s="21">
        <v>0</v>
      </c>
      <c r="I17" s="21">
        <v>4338</v>
      </c>
      <c r="J17" s="7">
        <v>0.6322048471953015</v>
      </c>
    </row>
    <row r="18" spans="1:10" ht="15">
      <c r="A18" s="33"/>
      <c r="B18" s="22" t="s">
        <v>19</v>
      </c>
      <c r="C18" s="12"/>
      <c r="D18" s="8"/>
      <c r="E18" s="12"/>
      <c r="F18" s="21">
        <v>2114</v>
      </c>
      <c r="G18" s="21">
        <v>0</v>
      </c>
      <c r="H18" s="21">
        <v>0</v>
      </c>
      <c r="I18" s="21">
        <v>2114</v>
      </c>
      <c r="J18" s="7">
        <v>0.3080869172362534</v>
      </c>
    </row>
    <row r="19" spans="1:10" ht="15">
      <c r="A19" s="34"/>
      <c r="B19" s="22" t="s">
        <v>20</v>
      </c>
      <c r="C19" s="12"/>
      <c r="D19" s="8"/>
      <c r="E19" s="12"/>
      <c r="F19" s="21">
        <v>2224</v>
      </c>
      <c r="G19" s="21">
        <v>0</v>
      </c>
      <c r="H19" s="21">
        <v>0</v>
      </c>
      <c r="I19" s="21">
        <v>2224</v>
      </c>
      <c r="J19" s="7">
        <v>0.32411792995904803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A11:A19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8" sqref="D8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48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v>41.61</v>
      </c>
      <c r="G7" s="23">
        <v>31.316026599999997</v>
      </c>
      <c r="H7" s="23">
        <v>0</v>
      </c>
      <c r="I7" s="6">
        <v>1.0316769600000002</v>
      </c>
      <c r="J7" s="7">
        <v>0.00015035296792340093</v>
      </c>
      <c r="L7" s="9"/>
    </row>
    <row r="8" spans="1:12" ht="15">
      <c r="A8" s="3">
        <v>2</v>
      </c>
      <c r="B8" s="4" t="s">
        <v>32</v>
      </c>
      <c r="C8" s="7"/>
      <c r="D8" s="5"/>
      <c r="E8" s="5"/>
      <c r="F8" s="7">
        <v>697.5</v>
      </c>
      <c r="G8" s="6">
        <v>655.1469999999999</v>
      </c>
      <c r="H8" s="6">
        <v>0</v>
      </c>
      <c r="I8" s="6">
        <v>21.5832</v>
      </c>
      <c r="J8" s="7">
        <v>0.003145459579987467</v>
      </c>
      <c r="L8" s="9"/>
    </row>
    <row r="9" spans="1:12" ht="15">
      <c r="A9" s="3">
        <v>3</v>
      </c>
      <c r="B9" s="4" t="s">
        <v>33</v>
      </c>
      <c r="C9" s="6" t="s">
        <v>49</v>
      </c>
      <c r="D9" s="5"/>
      <c r="E9" s="5"/>
      <c r="F9" s="6">
        <v>860</v>
      </c>
      <c r="G9" s="6">
        <v>678.113</v>
      </c>
      <c r="H9" s="6">
        <v>10</v>
      </c>
      <c r="I9" s="6">
        <v>21.5832</v>
      </c>
      <c r="J9" s="7">
        <v>0.003145459579987467</v>
      </c>
      <c r="L9" s="9"/>
    </row>
    <row r="10" spans="1:12" ht="15">
      <c r="A10" s="3">
        <v>4</v>
      </c>
      <c r="B10" s="4" t="s">
        <v>35</v>
      </c>
      <c r="C10" s="6"/>
      <c r="D10" s="5"/>
      <c r="E10" s="5"/>
      <c r="F10" s="6">
        <v>1557.5</v>
      </c>
      <c r="G10" s="6">
        <v>1333.26</v>
      </c>
      <c r="H10" s="6">
        <v>10</v>
      </c>
      <c r="I10" s="10">
        <v>0</v>
      </c>
      <c r="J10" s="7"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v>32730</v>
      </c>
      <c r="E11" s="5">
        <v>33458</v>
      </c>
      <c r="F11" s="7">
        <v>728</v>
      </c>
      <c r="G11" s="6">
        <v>0</v>
      </c>
      <c r="H11" s="6">
        <v>0</v>
      </c>
      <c r="I11" s="6">
        <v>728</v>
      </c>
      <c r="J11" s="7">
        <v>0.10609615692904091</v>
      </c>
      <c r="K11" s="11"/>
      <c r="L11" s="9"/>
    </row>
    <row r="12" spans="1:12" ht="15">
      <c r="A12" s="33"/>
      <c r="B12" s="4" t="s">
        <v>13</v>
      </c>
      <c r="C12" s="6"/>
      <c r="D12" s="5">
        <v>46945</v>
      </c>
      <c r="E12" s="5">
        <v>47968</v>
      </c>
      <c r="F12" s="7">
        <v>1023</v>
      </c>
      <c r="G12" s="6">
        <v>0</v>
      </c>
      <c r="H12" s="6">
        <v>0</v>
      </c>
      <c r="I12" s="6">
        <v>1023</v>
      </c>
      <c r="J12" s="7">
        <v>0.14908841832199018</v>
      </c>
      <c r="K12" s="11"/>
      <c r="L12" s="9"/>
    </row>
    <row r="13" spans="1:12" ht="15">
      <c r="A13" s="33"/>
      <c r="B13" s="4" t="s">
        <v>17</v>
      </c>
      <c r="C13" s="6"/>
      <c r="D13" s="5">
        <v>2854</v>
      </c>
      <c r="E13" s="5">
        <v>2932</v>
      </c>
      <c r="F13" s="7">
        <v>1560</v>
      </c>
      <c r="G13" s="6">
        <v>0</v>
      </c>
      <c r="H13" s="6">
        <v>0</v>
      </c>
      <c r="I13" s="6">
        <v>1560</v>
      </c>
      <c r="J13" s="7">
        <v>0.22734890770508767</v>
      </c>
      <c r="K13" s="11"/>
      <c r="L13" s="9"/>
    </row>
    <row r="14" spans="1:10" ht="15">
      <c r="A14" s="33"/>
      <c r="B14" s="4" t="s">
        <v>18</v>
      </c>
      <c r="C14" s="6"/>
      <c r="D14" s="5">
        <v>3171</v>
      </c>
      <c r="E14" s="5">
        <v>3254</v>
      </c>
      <c r="F14" s="7">
        <v>1660</v>
      </c>
      <c r="G14" s="6">
        <v>0</v>
      </c>
      <c r="H14" s="6">
        <v>0</v>
      </c>
      <c r="I14" s="6">
        <v>1660</v>
      </c>
      <c r="J14" s="7">
        <v>0.24192255563490098</v>
      </c>
    </row>
    <row r="15" spans="1:10" ht="15">
      <c r="A15" s="33"/>
      <c r="B15" s="4" t="s">
        <v>23</v>
      </c>
      <c r="C15" s="6"/>
      <c r="D15" s="5">
        <v>3307</v>
      </c>
      <c r="E15" s="5">
        <v>3524</v>
      </c>
      <c r="F15" s="7">
        <v>217</v>
      </c>
      <c r="G15" s="6">
        <v>0</v>
      </c>
      <c r="H15" s="6">
        <v>0</v>
      </c>
      <c r="I15" s="6">
        <v>217</v>
      </c>
      <c r="J15" s="7">
        <v>0.031624816007694886</v>
      </c>
    </row>
    <row r="16" spans="1:10" ht="15">
      <c r="A16" s="33"/>
      <c r="B16" s="4" t="s">
        <v>24</v>
      </c>
      <c r="C16" s="6"/>
      <c r="D16" s="5">
        <v>10632</v>
      </c>
      <c r="E16" s="5">
        <v>11112</v>
      </c>
      <c r="F16" s="7">
        <v>480</v>
      </c>
      <c r="G16" s="6">
        <v>0</v>
      </c>
      <c r="H16" s="6">
        <v>0</v>
      </c>
      <c r="I16" s="6">
        <v>480</v>
      </c>
      <c r="J16" s="7">
        <v>0.0699535100631039</v>
      </c>
    </row>
    <row r="17" spans="1:10" ht="15">
      <c r="A17" s="33"/>
      <c r="B17" s="19" t="s">
        <v>11</v>
      </c>
      <c r="C17" s="20"/>
      <c r="D17" s="8"/>
      <c r="E17" s="20"/>
      <c r="F17" s="21">
        <v>5668</v>
      </c>
      <c r="G17" s="21">
        <v>0</v>
      </c>
      <c r="H17" s="21">
        <v>0</v>
      </c>
      <c r="I17" s="21">
        <v>5668</v>
      </c>
      <c r="J17" s="7">
        <v>0.8260343646618186</v>
      </c>
    </row>
    <row r="18" spans="1:10" ht="15">
      <c r="A18" s="33"/>
      <c r="B18" s="22" t="s">
        <v>19</v>
      </c>
      <c r="C18" s="12"/>
      <c r="D18" s="8"/>
      <c r="E18" s="12"/>
      <c r="F18" s="21">
        <v>2505</v>
      </c>
      <c r="G18" s="21">
        <v>0</v>
      </c>
      <c r="H18" s="21">
        <v>0</v>
      </c>
      <c r="I18" s="21">
        <v>2505</v>
      </c>
      <c r="J18" s="7">
        <v>0.36506988064182344</v>
      </c>
    </row>
    <row r="19" spans="1:10" ht="15">
      <c r="A19" s="34"/>
      <c r="B19" s="22" t="s">
        <v>20</v>
      </c>
      <c r="C19" s="12"/>
      <c r="D19" s="8"/>
      <c r="E19" s="12"/>
      <c r="F19" s="21">
        <v>3163</v>
      </c>
      <c r="G19" s="21">
        <v>0</v>
      </c>
      <c r="H19" s="21">
        <v>0</v>
      </c>
      <c r="I19" s="21">
        <v>3163</v>
      </c>
      <c r="J19" s="7">
        <v>0.46096448401999507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H5:H6"/>
    <mergeCell ref="I5:I6"/>
    <mergeCell ref="J5:J6"/>
    <mergeCell ref="A11:A19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2"/>
  <sheetViews>
    <sheetView tabSelected="1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50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f>43.86</f>
        <v>43.86</v>
      </c>
      <c r="G7" s="23">
        <f>G8*0.0478</f>
        <v>32.987879400000004</v>
      </c>
      <c r="H7" s="23">
        <v>0</v>
      </c>
      <c r="I7" s="6">
        <f>21.5832*0.0478</f>
        <v>1.0316769600000002</v>
      </c>
      <c r="J7" s="7">
        <f aca="true" t="shared" si="0" ref="J7:J19">I7/6861.7</f>
        <v>0.00015035296792340093</v>
      </c>
      <c r="L7" s="9"/>
    </row>
    <row r="8" spans="1:12" ht="15">
      <c r="A8" s="3">
        <v>2</v>
      </c>
      <c r="B8" s="4" t="s">
        <v>32</v>
      </c>
      <c r="C8" s="7"/>
      <c r="D8" s="5"/>
      <c r="E8" s="5"/>
      <c r="F8" s="7">
        <f>750.08</f>
        <v>750.08</v>
      </c>
      <c r="G8" s="6">
        <f>445.473+244.65</f>
        <v>690.123</v>
      </c>
      <c r="H8" s="6">
        <v>0</v>
      </c>
      <c r="I8" s="6">
        <f>21.5832</f>
        <v>21.5832</v>
      </c>
      <c r="J8" s="7">
        <f t="shared" si="0"/>
        <v>0.003145459579987467</v>
      </c>
      <c r="L8" s="9"/>
    </row>
    <row r="9" spans="1:12" ht="15">
      <c r="A9" s="3">
        <v>3</v>
      </c>
      <c r="B9" s="4" t="s">
        <v>33</v>
      </c>
      <c r="C9" s="6" t="s">
        <v>51</v>
      </c>
      <c r="D9" s="5"/>
      <c r="E9" s="5"/>
      <c r="F9" s="6">
        <f>33442-32393</f>
        <v>1049</v>
      </c>
      <c r="G9" s="6">
        <f>437.177+72.2</f>
        <v>509.377</v>
      </c>
      <c r="H9" s="6">
        <f>2+9</f>
        <v>11</v>
      </c>
      <c r="I9" s="6">
        <f>21.5832</f>
        <v>21.5832</v>
      </c>
      <c r="J9" s="7">
        <f t="shared" si="0"/>
        <v>0.003145459579987467</v>
      </c>
      <c r="L9" s="9"/>
    </row>
    <row r="10" spans="1:12" ht="15">
      <c r="A10" s="3">
        <v>4</v>
      </c>
      <c r="B10" s="4" t="s">
        <v>35</v>
      </c>
      <c r="C10" s="6"/>
      <c r="D10" s="5"/>
      <c r="E10" s="5"/>
      <c r="F10" s="6">
        <f>F8+F9</f>
        <v>1799.08</v>
      </c>
      <c r="G10" s="6">
        <f>1070.27+129.23</f>
        <v>1199.5</v>
      </c>
      <c r="H10" s="6">
        <f>H8+H9</f>
        <v>11</v>
      </c>
      <c r="I10" s="10">
        <v>0</v>
      </c>
      <c r="J10" s="7">
        <f t="shared" si="0"/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f>42738-9280</f>
        <v>33458</v>
      </c>
      <c r="E11" s="5">
        <f>43449-9641</f>
        <v>33808</v>
      </c>
      <c r="F11" s="7">
        <f>(E11-D11)*1</f>
        <v>350</v>
      </c>
      <c r="G11" s="6">
        <v>0</v>
      </c>
      <c r="H11" s="6">
        <v>0</v>
      </c>
      <c r="I11" s="6">
        <f aca="true" t="shared" si="1" ref="I11:I16">F11-G11-H11</f>
        <v>350</v>
      </c>
      <c r="J11" s="7">
        <f t="shared" si="0"/>
        <v>0.051007767754346595</v>
      </c>
      <c r="K11" s="11"/>
      <c r="L11" s="9"/>
    </row>
    <row r="12" spans="1:12" ht="15">
      <c r="A12" s="33"/>
      <c r="B12" s="4" t="s">
        <v>13</v>
      </c>
      <c r="C12" s="6"/>
      <c r="D12" s="5">
        <f>77226-29258</f>
        <v>47968</v>
      </c>
      <c r="E12" s="5">
        <f>78317-29919</f>
        <v>48398</v>
      </c>
      <c r="F12" s="7">
        <f>(E12-D12)*1</f>
        <v>430</v>
      </c>
      <c r="G12" s="6">
        <v>0</v>
      </c>
      <c r="H12" s="6">
        <v>0</v>
      </c>
      <c r="I12" s="6">
        <f t="shared" si="1"/>
        <v>430</v>
      </c>
      <c r="J12" s="7">
        <f t="shared" si="0"/>
        <v>0.06266668609819724</v>
      </c>
      <c r="K12" s="11"/>
      <c r="L12" s="9"/>
    </row>
    <row r="13" spans="1:12" ht="15">
      <c r="A13" s="33"/>
      <c r="B13" s="4" t="s">
        <v>17</v>
      </c>
      <c r="C13" s="6"/>
      <c r="D13" s="5">
        <v>2932</v>
      </c>
      <c r="E13" s="5">
        <v>2973</v>
      </c>
      <c r="F13" s="7">
        <f>(E13-D13)*20</f>
        <v>820</v>
      </c>
      <c r="G13" s="6">
        <v>0</v>
      </c>
      <c r="H13" s="6">
        <v>0</v>
      </c>
      <c r="I13" s="6">
        <f t="shared" si="1"/>
        <v>820</v>
      </c>
      <c r="J13" s="7">
        <f t="shared" si="0"/>
        <v>0.11950391302446915</v>
      </c>
      <c r="K13" s="11"/>
      <c r="L13" s="9"/>
    </row>
    <row r="14" spans="1:10" ht="15">
      <c r="A14" s="33"/>
      <c r="B14" s="4" t="s">
        <v>18</v>
      </c>
      <c r="C14" s="6"/>
      <c r="D14" s="5">
        <v>3254</v>
      </c>
      <c r="E14" s="5">
        <v>3294</v>
      </c>
      <c r="F14" s="7">
        <f>(E14-D14)*20</f>
        <v>800</v>
      </c>
      <c r="G14" s="6">
        <v>0</v>
      </c>
      <c r="H14" s="6">
        <v>0</v>
      </c>
      <c r="I14" s="6">
        <f t="shared" si="1"/>
        <v>800</v>
      </c>
      <c r="J14" s="7">
        <f t="shared" si="0"/>
        <v>0.1165891834385065</v>
      </c>
    </row>
    <row r="15" spans="1:10" ht="15">
      <c r="A15" s="33"/>
      <c r="B15" s="4" t="s">
        <v>23</v>
      </c>
      <c r="C15" s="6"/>
      <c r="D15" s="5">
        <v>3524.499</v>
      </c>
      <c r="E15" s="5">
        <v>3661.5</v>
      </c>
      <c r="F15" s="7">
        <f>(E15-D15)*1</f>
        <v>137.0010000000002</v>
      </c>
      <c r="G15" s="6">
        <v>0</v>
      </c>
      <c r="H15" s="6">
        <v>0</v>
      </c>
      <c r="I15" s="6">
        <f t="shared" si="1"/>
        <v>137.0010000000002</v>
      </c>
      <c r="J15" s="7">
        <f t="shared" si="0"/>
        <v>0.019966043400323565</v>
      </c>
    </row>
    <row r="16" spans="1:10" ht="15">
      <c r="A16" s="33"/>
      <c r="B16" s="4" t="s">
        <v>24</v>
      </c>
      <c r="C16" s="6"/>
      <c r="D16" s="5">
        <v>11112</v>
      </c>
      <c r="E16" s="5">
        <v>11363</v>
      </c>
      <c r="F16" s="7">
        <f>(E16-D16)*1</f>
        <v>251</v>
      </c>
      <c r="G16" s="6">
        <v>0</v>
      </c>
      <c r="H16" s="6">
        <v>0</v>
      </c>
      <c r="I16" s="6">
        <f t="shared" si="1"/>
        <v>251</v>
      </c>
      <c r="J16" s="7">
        <f t="shared" si="0"/>
        <v>0.03657985630383141</v>
      </c>
    </row>
    <row r="17" spans="1:10" ht="15">
      <c r="A17" s="33"/>
      <c r="B17" s="19" t="s">
        <v>11</v>
      </c>
      <c r="C17" s="20"/>
      <c r="D17" s="8"/>
      <c r="E17" s="20"/>
      <c r="F17" s="21">
        <f>SUM(F11:F16)</f>
        <v>2788.001</v>
      </c>
      <c r="G17" s="21">
        <f>SUM(G11:G16)</f>
        <v>0</v>
      </c>
      <c r="H17" s="21">
        <f>SUM(H11:H16)</f>
        <v>0</v>
      </c>
      <c r="I17" s="21">
        <f>SUM(I11:I16)</f>
        <v>2788.001</v>
      </c>
      <c r="J17" s="7">
        <f t="shared" si="0"/>
        <v>0.40631345001967445</v>
      </c>
    </row>
    <row r="18" spans="1:10" ht="15">
      <c r="A18" s="33"/>
      <c r="B18" s="22" t="s">
        <v>19</v>
      </c>
      <c r="C18" s="12"/>
      <c r="D18" s="8"/>
      <c r="E18" s="12"/>
      <c r="F18" s="21">
        <f aca="true" t="shared" si="2" ref="F18:I19">F11+F13+F15</f>
        <v>1307.0010000000002</v>
      </c>
      <c r="G18" s="21">
        <f t="shared" si="2"/>
        <v>0</v>
      </c>
      <c r="H18" s="21">
        <f t="shared" si="2"/>
        <v>0</v>
      </c>
      <c r="I18" s="21">
        <f t="shared" si="2"/>
        <v>1307.0010000000002</v>
      </c>
      <c r="J18" s="7">
        <f t="shared" si="0"/>
        <v>0.1904777241791393</v>
      </c>
    </row>
    <row r="19" spans="1:10" ht="15">
      <c r="A19" s="34"/>
      <c r="B19" s="22" t="s">
        <v>20</v>
      </c>
      <c r="C19" s="12"/>
      <c r="D19" s="8"/>
      <c r="E19" s="12"/>
      <c r="F19" s="21">
        <f t="shared" si="2"/>
        <v>1481</v>
      </c>
      <c r="G19" s="21">
        <f t="shared" si="2"/>
        <v>0</v>
      </c>
      <c r="H19" s="21">
        <f t="shared" si="2"/>
        <v>0</v>
      </c>
      <c r="I19" s="21">
        <f t="shared" si="2"/>
        <v>1481</v>
      </c>
      <c r="J19" s="7">
        <f t="shared" si="0"/>
        <v>0.21583572584053515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9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27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f>39.34</f>
        <v>39.34</v>
      </c>
      <c r="G7" s="23">
        <f>G8*0.0478</f>
        <v>20.403430000000004</v>
      </c>
      <c r="H7" s="23">
        <v>0</v>
      </c>
      <c r="I7" s="24">
        <f>I8*0.0478</f>
        <v>1.0316769600000002</v>
      </c>
      <c r="J7" s="7">
        <f aca="true" t="shared" si="0" ref="J7:J19">I7/6861.7</f>
        <v>0.00015035296792340093</v>
      </c>
      <c r="L7" s="9"/>
    </row>
    <row r="8" spans="1:12" ht="15">
      <c r="A8" s="3">
        <v>2</v>
      </c>
      <c r="B8" s="4" t="s">
        <v>7</v>
      </c>
      <c r="C8" s="7"/>
      <c r="D8" s="5"/>
      <c r="E8" s="5"/>
      <c r="F8" s="7">
        <f>623.07</f>
        <v>623.07</v>
      </c>
      <c r="G8" s="6">
        <v>426.85</v>
      </c>
      <c r="H8" s="6">
        <v>0</v>
      </c>
      <c r="I8" s="6">
        <v>21.5832</v>
      </c>
      <c r="J8" s="7">
        <f t="shared" si="0"/>
        <v>0.003145459579987467</v>
      </c>
      <c r="L8" s="9"/>
    </row>
    <row r="9" spans="1:12" ht="15">
      <c r="A9" s="3">
        <v>3</v>
      </c>
      <c r="B9" s="4" t="s">
        <v>21</v>
      </c>
      <c r="C9" s="6" t="s">
        <v>28</v>
      </c>
      <c r="D9" s="5"/>
      <c r="E9" s="5"/>
      <c r="F9" s="6">
        <f>821</f>
        <v>821</v>
      </c>
      <c r="G9" s="6">
        <f>348.19</f>
        <v>348.19</v>
      </c>
      <c r="H9" s="6">
        <v>11</v>
      </c>
      <c r="I9" s="6">
        <v>21.58</v>
      </c>
      <c r="J9" s="7">
        <f t="shared" si="0"/>
        <v>0.0031449932232537124</v>
      </c>
      <c r="L9" s="9"/>
    </row>
    <row r="10" spans="1:12" ht="15">
      <c r="A10" s="3">
        <v>4</v>
      </c>
      <c r="B10" s="4" t="s">
        <v>8</v>
      </c>
      <c r="C10" s="6"/>
      <c r="D10" s="5"/>
      <c r="E10" s="5"/>
      <c r="F10" s="6">
        <f>F8+F9</f>
        <v>1444.0700000000002</v>
      </c>
      <c r="G10" s="6">
        <v>775.04</v>
      </c>
      <c r="H10" s="6">
        <f>H8+H9</f>
        <v>11</v>
      </c>
      <c r="I10" s="10">
        <v>0</v>
      </c>
      <c r="J10" s="7">
        <f t="shared" si="0"/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f>33507-7025</f>
        <v>26482</v>
      </c>
      <c r="E11" s="5">
        <f>34949-7583</f>
        <v>27366</v>
      </c>
      <c r="F11" s="7">
        <f>(E11-D11)*1</f>
        <v>884</v>
      </c>
      <c r="G11" s="6">
        <v>0</v>
      </c>
      <c r="H11" s="6">
        <v>0</v>
      </c>
      <c r="I11" s="6">
        <f aca="true" t="shared" si="1" ref="I11:I16">F11-G11-H11</f>
        <v>884</v>
      </c>
      <c r="J11" s="7">
        <f t="shared" si="0"/>
        <v>0.12883104769954967</v>
      </c>
      <c r="K11" s="11"/>
      <c r="L11" s="9"/>
    </row>
    <row r="12" spans="1:12" ht="15">
      <c r="A12" s="33"/>
      <c r="B12" s="4" t="s">
        <v>13</v>
      </c>
      <c r="C12" s="6"/>
      <c r="D12" s="5">
        <f>58963-20154</f>
        <v>38809</v>
      </c>
      <c r="E12" s="5">
        <f>61018-21262</f>
        <v>39756</v>
      </c>
      <c r="F12" s="7">
        <f>(E12-D12)*1</f>
        <v>947</v>
      </c>
      <c r="G12" s="6">
        <v>0</v>
      </c>
      <c r="H12" s="6">
        <v>0</v>
      </c>
      <c r="I12" s="6">
        <f t="shared" si="1"/>
        <v>947</v>
      </c>
      <c r="J12" s="7">
        <f t="shared" si="0"/>
        <v>0.13801244589533207</v>
      </c>
      <c r="K12" s="11"/>
      <c r="L12" s="9"/>
    </row>
    <row r="13" spans="1:12" ht="15">
      <c r="A13" s="33"/>
      <c r="B13" s="4" t="s">
        <v>17</v>
      </c>
      <c r="C13" s="6"/>
      <c r="D13" s="5">
        <v>2259</v>
      </c>
      <c r="E13" s="5">
        <v>2343</v>
      </c>
      <c r="F13" s="7">
        <f>(E13-D13)*20</f>
        <v>1680</v>
      </c>
      <c r="G13" s="6">
        <v>0</v>
      </c>
      <c r="H13" s="6">
        <v>0</v>
      </c>
      <c r="I13" s="6">
        <f t="shared" si="1"/>
        <v>1680</v>
      </c>
      <c r="J13" s="7">
        <f t="shared" si="0"/>
        <v>0.24483728522086365</v>
      </c>
      <c r="K13" s="11"/>
      <c r="L13" s="9"/>
    </row>
    <row r="14" spans="1:10" ht="15">
      <c r="A14" s="33"/>
      <c r="B14" s="4" t="s">
        <v>18</v>
      </c>
      <c r="C14" s="6"/>
      <c r="D14" s="5">
        <v>2578</v>
      </c>
      <c r="E14" s="5">
        <v>2652</v>
      </c>
      <c r="F14" s="7">
        <f>(E14-D14)*20</f>
        <v>1480</v>
      </c>
      <c r="G14" s="6">
        <v>0</v>
      </c>
      <c r="H14" s="6">
        <v>0</v>
      </c>
      <c r="I14" s="6">
        <f t="shared" si="1"/>
        <v>1480</v>
      </c>
      <c r="J14" s="7">
        <f t="shared" si="0"/>
        <v>0.215689989361237</v>
      </c>
    </row>
    <row r="15" spans="1:10" ht="15">
      <c r="A15" s="33"/>
      <c r="B15" s="4" t="s">
        <v>23</v>
      </c>
      <c r="C15" s="6"/>
      <c r="D15" s="5">
        <v>2668</v>
      </c>
      <c r="E15" s="5">
        <v>2880</v>
      </c>
      <c r="F15" s="7">
        <f>(E15-D15)*1</f>
        <v>212</v>
      </c>
      <c r="G15" s="6">
        <v>0</v>
      </c>
      <c r="H15" s="6">
        <v>0</v>
      </c>
      <c r="I15" s="6">
        <f t="shared" si="1"/>
        <v>212</v>
      </c>
      <c r="J15" s="7">
        <f t="shared" si="0"/>
        <v>0.030896133611204222</v>
      </c>
    </row>
    <row r="16" spans="1:10" ht="15">
      <c r="A16" s="33"/>
      <c r="B16" s="4" t="s">
        <v>24</v>
      </c>
      <c r="C16" s="6"/>
      <c r="D16" s="5">
        <v>7654</v>
      </c>
      <c r="E16" s="5">
        <v>8075</v>
      </c>
      <c r="F16" s="7">
        <f>(E16-D16)*1</f>
        <v>421</v>
      </c>
      <c r="G16" s="6">
        <v>0</v>
      </c>
      <c r="H16" s="6">
        <v>0</v>
      </c>
      <c r="I16" s="6">
        <f t="shared" si="1"/>
        <v>421</v>
      </c>
      <c r="J16" s="7">
        <f t="shared" si="0"/>
        <v>0.06135505778451404</v>
      </c>
    </row>
    <row r="17" spans="1:10" ht="15">
      <c r="A17" s="33"/>
      <c r="B17" s="19" t="s">
        <v>11</v>
      </c>
      <c r="C17" s="20"/>
      <c r="D17" s="8"/>
      <c r="E17" s="20"/>
      <c r="F17" s="21">
        <f>SUM(F11:F16)</f>
        <v>5624</v>
      </c>
      <c r="G17" s="21">
        <f>SUM(G11:G16)</f>
        <v>0</v>
      </c>
      <c r="H17" s="21">
        <f>SUM(H11:H16)</f>
        <v>0</v>
      </c>
      <c r="I17" s="21">
        <f>SUM(I11:I16)</f>
        <v>5624</v>
      </c>
      <c r="J17" s="7">
        <f t="shared" si="0"/>
        <v>0.8196219595727007</v>
      </c>
    </row>
    <row r="18" spans="1:10" ht="15">
      <c r="A18" s="33"/>
      <c r="B18" s="22" t="s">
        <v>19</v>
      </c>
      <c r="C18" s="12"/>
      <c r="D18" s="8"/>
      <c r="E18" s="12"/>
      <c r="F18" s="21">
        <f aca="true" t="shared" si="2" ref="F18:I19">F11+F13+F15</f>
        <v>2776</v>
      </c>
      <c r="G18" s="21">
        <f t="shared" si="2"/>
        <v>0</v>
      </c>
      <c r="H18" s="21">
        <f t="shared" si="2"/>
        <v>0</v>
      </c>
      <c r="I18" s="21">
        <f t="shared" si="2"/>
        <v>2776</v>
      </c>
      <c r="J18" s="7">
        <f t="shared" si="0"/>
        <v>0.40456446653161754</v>
      </c>
    </row>
    <row r="19" spans="1:10" ht="15">
      <c r="A19" s="34"/>
      <c r="B19" s="22" t="s">
        <v>20</v>
      </c>
      <c r="C19" s="12"/>
      <c r="D19" s="8"/>
      <c r="E19" s="12"/>
      <c r="F19" s="21">
        <f t="shared" si="2"/>
        <v>2848</v>
      </c>
      <c r="G19" s="21">
        <f t="shared" si="2"/>
        <v>0</v>
      </c>
      <c r="H19" s="21">
        <f t="shared" si="2"/>
        <v>0</v>
      </c>
      <c r="I19" s="21">
        <f t="shared" si="2"/>
        <v>2848</v>
      </c>
      <c r="J19" s="7">
        <f t="shared" si="0"/>
        <v>0.41505749304108314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A11:A19"/>
    <mergeCell ref="J5:J6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29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f>43.01</f>
        <v>43.01</v>
      </c>
      <c r="G7" s="23">
        <f>G8*0.0478</f>
        <v>30.208166000000002</v>
      </c>
      <c r="H7" s="23">
        <v>0</v>
      </c>
      <c r="I7" s="23">
        <f>I8*0.0478</f>
        <v>1.0316769600000002</v>
      </c>
      <c r="J7" s="7">
        <f aca="true" t="shared" si="0" ref="J7:J19">I7/6861.7</f>
        <v>0.00015035296792340093</v>
      </c>
      <c r="L7" s="9"/>
    </row>
    <row r="8" spans="1:12" ht="15">
      <c r="A8" s="3">
        <v>2</v>
      </c>
      <c r="B8" s="4" t="s">
        <v>7</v>
      </c>
      <c r="C8" s="7"/>
      <c r="D8" s="5"/>
      <c r="E8" s="5"/>
      <c r="F8" s="7">
        <f>661.36</f>
        <v>661.36</v>
      </c>
      <c r="G8" s="6">
        <f>631.97</f>
        <v>631.97</v>
      </c>
      <c r="H8" s="6">
        <v>0</v>
      </c>
      <c r="I8" s="6">
        <v>21.5832</v>
      </c>
      <c r="J8" s="7">
        <f t="shared" si="0"/>
        <v>0.003145459579987467</v>
      </c>
      <c r="L8" s="9"/>
    </row>
    <row r="9" spans="1:12" ht="15">
      <c r="A9" s="3">
        <v>3</v>
      </c>
      <c r="B9" s="4" t="s">
        <v>21</v>
      </c>
      <c r="C9" s="6" t="s">
        <v>30</v>
      </c>
      <c r="D9" s="5"/>
      <c r="E9" s="5"/>
      <c r="F9" s="6">
        <f>25769-25051</f>
        <v>718</v>
      </c>
      <c r="G9" s="6">
        <f>616.53</f>
        <v>616.53</v>
      </c>
      <c r="H9" s="6">
        <f>1+5</f>
        <v>6</v>
      </c>
      <c r="I9" s="6">
        <v>21.5832</v>
      </c>
      <c r="J9" s="7">
        <f t="shared" si="0"/>
        <v>0.003145459579987467</v>
      </c>
      <c r="L9" s="9"/>
    </row>
    <row r="10" spans="1:12" ht="15">
      <c r="A10" s="3">
        <v>4</v>
      </c>
      <c r="B10" s="4" t="s">
        <v>8</v>
      </c>
      <c r="C10" s="6"/>
      <c r="D10" s="5"/>
      <c r="E10" s="5"/>
      <c r="F10" s="6">
        <f>F8+F9</f>
        <v>1379.3600000000001</v>
      </c>
      <c r="G10" s="6">
        <f>1248.5</f>
        <v>1248.5</v>
      </c>
      <c r="H10" s="6">
        <f>H8+H9</f>
        <v>6</v>
      </c>
      <c r="I10" s="10">
        <v>0</v>
      </c>
      <c r="J10" s="7">
        <f t="shared" si="0"/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f>34949-7583</f>
        <v>27366</v>
      </c>
      <c r="E11" s="5">
        <f>36067-7899</f>
        <v>28168</v>
      </c>
      <c r="F11" s="7">
        <f>(E11-D11)*1</f>
        <v>802</v>
      </c>
      <c r="G11" s="6">
        <v>0</v>
      </c>
      <c r="H11" s="6">
        <v>0</v>
      </c>
      <c r="I11" s="6">
        <f aca="true" t="shared" si="1" ref="I11:I16">F11-G11-H11</f>
        <v>802</v>
      </c>
      <c r="J11" s="7">
        <f t="shared" si="0"/>
        <v>0.11688065639710277</v>
      </c>
      <c r="K11" s="11"/>
      <c r="L11" s="9"/>
    </row>
    <row r="12" spans="1:12" ht="15">
      <c r="A12" s="33"/>
      <c r="B12" s="4" t="s">
        <v>13</v>
      </c>
      <c r="C12" s="6"/>
      <c r="D12" s="5">
        <f>61018-21262</f>
        <v>39756</v>
      </c>
      <c r="E12" s="5">
        <f>62939-22197</f>
        <v>40742</v>
      </c>
      <c r="F12" s="7">
        <f>(E12-D12)*1</f>
        <v>986</v>
      </c>
      <c r="G12" s="6">
        <v>0</v>
      </c>
      <c r="H12" s="6">
        <v>0</v>
      </c>
      <c r="I12" s="6">
        <f t="shared" si="1"/>
        <v>986</v>
      </c>
      <c r="J12" s="7">
        <f t="shared" si="0"/>
        <v>0.14369616858795925</v>
      </c>
      <c r="K12" s="11"/>
      <c r="L12" s="9"/>
    </row>
    <row r="13" spans="1:12" ht="15">
      <c r="A13" s="33"/>
      <c r="B13" s="4" t="s">
        <v>17</v>
      </c>
      <c r="C13" s="6"/>
      <c r="D13" s="5">
        <v>2343</v>
      </c>
      <c r="E13" s="5">
        <v>2412</v>
      </c>
      <c r="F13" s="7">
        <f>(E13-D13)*20</f>
        <v>1380</v>
      </c>
      <c r="G13" s="6">
        <v>0</v>
      </c>
      <c r="H13" s="6">
        <v>0</v>
      </c>
      <c r="I13" s="6">
        <f t="shared" si="1"/>
        <v>1380</v>
      </c>
      <c r="J13" s="7">
        <f t="shared" si="0"/>
        <v>0.2011163414314237</v>
      </c>
      <c r="K13" s="11"/>
      <c r="L13" s="9"/>
    </row>
    <row r="14" spans="1:10" ht="15">
      <c r="A14" s="33"/>
      <c r="B14" s="4" t="s">
        <v>18</v>
      </c>
      <c r="C14" s="6"/>
      <c r="D14" s="5">
        <v>2652</v>
      </c>
      <c r="E14" s="5">
        <v>2718</v>
      </c>
      <c r="F14" s="7">
        <f>(E14-D14)*20</f>
        <v>1320</v>
      </c>
      <c r="G14" s="6">
        <v>0</v>
      </c>
      <c r="H14" s="6">
        <v>0</v>
      </c>
      <c r="I14" s="6">
        <f t="shared" si="1"/>
        <v>1320</v>
      </c>
      <c r="J14" s="7">
        <f t="shared" si="0"/>
        <v>0.19237215267353572</v>
      </c>
    </row>
    <row r="15" spans="1:10" ht="15">
      <c r="A15" s="33"/>
      <c r="B15" s="4" t="s">
        <v>23</v>
      </c>
      <c r="C15" s="6"/>
      <c r="D15" s="5">
        <v>2880</v>
      </c>
      <c r="E15" s="5">
        <v>3000</v>
      </c>
      <c r="F15" s="7">
        <f>(E15-D15)*1</f>
        <v>120</v>
      </c>
      <c r="G15" s="6">
        <v>0</v>
      </c>
      <c r="H15" s="6">
        <v>0</v>
      </c>
      <c r="I15" s="6">
        <f t="shared" si="1"/>
        <v>120</v>
      </c>
      <c r="J15" s="7">
        <f t="shared" si="0"/>
        <v>0.017488377515775973</v>
      </c>
    </row>
    <row r="16" spans="1:10" ht="15">
      <c r="A16" s="33"/>
      <c r="B16" s="4" t="s">
        <v>24</v>
      </c>
      <c r="C16" s="6"/>
      <c r="D16" s="5">
        <v>8075</v>
      </c>
      <c r="E16" s="5">
        <v>8430</v>
      </c>
      <c r="F16" s="7">
        <f>(E16-D16)*1</f>
        <v>355</v>
      </c>
      <c r="G16" s="6">
        <v>0</v>
      </c>
      <c r="H16" s="6">
        <v>0</v>
      </c>
      <c r="I16" s="6">
        <f t="shared" si="1"/>
        <v>355</v>
      </c>
      <c r="J16" s="7">
        <f t="shared" si="0"/>
        <v>0.051736450150837256</v>
      </c>
    </row>
    <row r="17" spans="1:10" ht="15">
      <c r="A17" s="33"/>
      <c r="B17" s="19" t="s">
        <v>11</v>
      </c>
      <c r="C17" s="20"/>
      <c r="D17" s="8"/>
      <c r="E17" s="20"/>
      <c r="F17" s="21">
        <f>SUM(F11:F16)</f>
        <v>4963</v>
      </c>
      <c r="G17" s="21">
        <f>SUM(G11:G16)</f>
        <v>0</v>
      </c>
      <c r="H17" s="21">
        <f>SUM(H11:H16)</f>
        <v>0</v>
      </c>
      <c r="I17" s="21">
        <f>SUM(I11:I16)</f>
        <v>4963</v>
      </c>
      <c r="J17" s="7">
        <f t="shared" si="0"/>
        <v>0.7232901467566347</v>
      </c>
    </row>
    <row r="18" spans="1:10" ht="15">
      <c r="A18" s="33"/>
      <c r="B18" s="22" t="s">
        <v>19</v>
      </c>
      <c r="C18" s="12"/>
      <c r="D18" s="8"/>
      <c r="E18" s="12"/>
      <c r="F18" s="21">
        <f aca="true" t="shared" si="2" ref="F18:I19">F11+F13+F15</f>
        <v>2302</v>
      </c>
      <c r="G18" s="21">
        <f t="shared" si="2"/>
        <v>0</v>
      </c>
      <c r="H18" s="21">
        <f t="shared" si="2"/>
        <v>0</v>
      </c>
      <c r="I18" s="21">
        <f t="shared" si="2"/>
        <v>2302</v>
      </c>
      <c r="J18" s="7">
        <f t="shared" si="0"/>
        <v>0.33548537534430245</v>
      </c>
    </row>
    <row r="19" spans="1:10" ht="15">
      <c r="A19" s="34"/>
      <c r="B19" s="22" t="s">
        <v>20</v>
      </c>
      <c r="C19" s="12"/>
      <c r="D19" s="8"/>
      <c r="E19" s="12"/>
      <c r="F19" s="21">
        <f t="shared" si="2"/>
        <v>2661</v>
      </c>
      <c r="G19" s="21">
        <f t="shared" si="2"/>
        <v>0</v>
      </c>
      <c r="H19" s="21">
        <f t="shared" si="2"/>
        <v>0</v>
      </c>
      <c r="I19" s="21">
        <f t="shared" si="2"/>
        <v>2661</v>
      </c>
      <c r="J19" s="7">
        <f t="shared" si="0"/>
        <v>0.3878047714123322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I5:I6"/>
    <mergeCell ref="A11:A19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31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f>41.53</f>
        <v>41.53</v>
      </c>
      <c r="G7" s="23">
        <f>G8*0.0478</f>
        <v>38.921150000000004</v>
      </c>
      <c r="H7" s="23">
        <v>0</v>
      </c>
      <c r="I7" s="6">
        <f>21.583*0.0478</f>
        <v>1.0316674</v>
      </c>
      <c r="J7" s="7">
        <f aca="true" t="shared" si="0" ref="J7:J19">I7/6861.7</f>
        <v>0.0001503515746826588</v>
      </c>
      <c r="L7" s="9"/>
    </row>
    <row r="8" spans="1:12" ht="15">
      <c r="A8" s="3">
        <v>2</v>
      </c>
      <c r="B8" s="4" t="s">
        <v>32</v>
      </c>
      <c r="C8" s="7"/>
      <c r="D8" s="5"/>
      <c r="E8" s="5"/>
      <c r="F8" s="7">
        <f>664.15</f>
        <v>664.15</v>
      </c>
      <c r="G8" s="6">
        <f>615.7+198.55</f>
        <v>814.25</v>
      </c>
      <c r="H8" s="6">
        <v>0</v>
      </c>
      <c r="I8" s="6">
        <f>F8-G8-H8</f>
        <v>-150.10000000000002</v>
      </c>
      <c r="J8" s="7">
        <f t="shared" si="0"/>
        <v>-0.021875045542649785</v>
      </c>
      <c r="L8" s="9"/>
    </row>
    <row r="9" spans="1:12" ht="15">
      <c r="A9" s="3">
        <v>3</v>
      </c>
      <c r="B9" s="4" t="s">
        <v>33</v>
      </c>
      <c r="C9" s="6" t="s">
        <v>34</v>
      </c>
      <c r="D9" s="5"/>
      <c r="E9" s="5"/>
      <c r="F9" s="6">
        <f>26601-25769</f>
        <v>832</v>
      </c>
      <c r="G9" s="6">
        <f>699.935+157.62</f>
        <v>857.555</v>
      </c>
      <c r="H9" s="6">
        <f>3+8+1</f>
        <v>12</v>
      </c>
      <c r="I9" s="6">
        <f>F9-G9-H9</f>
        <v>-37.55499999999995</v>
      </c>
      <c r="J9" s="7">
        <f t="shared" si="0"/>
        <v>-0.005473133480041382</v>
      </c>
      <c r="L9" s="9"/>
    </row>
    <row r="10" spans="1:12" ht="15">
      <c r="A10" s="3">
        <v>4</v>
      </c>
      <c r="B10" s="4" t="s">
        <v>35</v>
      </c>
      <c r="C10" s="6"/>
      <c r="D10" s="5"/>
      <c r="E10" s="5"/>
      <c r="F10" s="6">
        <f>F8+F9</f>
        <v>1496.15</v>
      </c>
      <c r="G10" s="6">
        <f>1394.07+277.735</f>
        <v>1671.8049999999998</v>
      </c>
      <c r="H10" s="6">
        <f>H8+H9</f>
        <v>12</v>
      </c>
      <c r="I10" s="10">
        <v>0</v>
      </c>
      <c r="J10" s="7">
        <f t="shared" si="0"/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f>36067-7899</f>
        <v>28168</v>
      </c>
      <c r="E11" s="5">
        <f>37185-8215</f>
        <v>28970</v>
      </c>
      <c r="F11" s="7">
        <f>(E11-D11)*1</f>
        <v>802</v>
      </c>
      <c r="G11" s="6">
        <v>0</v>
      </c>
      <c r="H11" s="6">
        <v>0</v>
      </c>
      <c r="I11" s="6">
        <f aca="true" t="shared" si="1" ref="I11:I16">F11-G11-H11</f>
        <v>802</v>
      </c>
      <c r="J11" s="7">
        <f t="shared" si="0"/>
        <v>0.11688065639710277</v>
      </c>
      <c r="K11" s="11"/>
      <c r="L11" s="9"/>
    </row>
    <row r="12" spans="1:12" ht="15">
      <c r="A12" s="33"/>
      <c r="B12" s="4" t="s">
        <v>13</v>
      </c>
      <c r="C12" s="6"/>
      <c r="D12" s="5">
        <f>62939-22197</f>
        <v>40742</v>
      </c>
      <c r="E12" s="5">
        <f>64860-23130</f>
        <v>41730</v>
      </c>
      <c r="F12" s="7">
        <f>(E12-D12)*1</f>
        <v>988</v>
      </c>
      <c r="G12" s="6">
        <v>0</v>
      </c>
      <c r="H12" s="6">
        <v>0</v>
      </c>
      <c r="I12" s="6">
        <f t="shared" si="1"/>
        <v>988</v>
      </c>
      <c r="J12" s="7">
        <f t="shared" si="0"/>
        <v>0.14398764154655552</v>
      </c>
      <c r="K12" s="11"/>
      <c r="L12" s="9"/>
    </row>
    <row r="13" spans="1:12" ht="15">
      <c r="A13" s="33"/>
      <c r="B13" s="4" t="s">
        <v>17</v>
      </c>
      <c r="C13" s="6"/>
      <c r="D13" s="5">
        <v>2412</v>
      </c>
      <c r="E13" s="5">
        <v>2480</v>
      </c>
      <c r="F13" s="7">
        <f>(E13-D13)*20</f>
        <v>1360</v>
      </c>
      <c r="G13" s="6">
        <v>0</v>
      </c>
      <c r="H13" s="6">
        <v>0</v>
      </c>
      <c r="I13" s="6">
        <f t="shared" si="1"/>
        <v>1360</v>
      </c>
      <c r="J13" s="7">
        <f t="shared" si="0"/>
        <v>0.19820161184546103</v>
      </c>
      <c r="K13" s="11"/>
      <c r="L13" s="9"/>
    </row>
    <row r="14" spans="1:10" ht="15">
      <c r="A14" s="33"/>
      <c r="B14" s="4" t="s">
        <v>18</v>
      </c>
      <c r="C14" s="6"/>
      <c r="D14" s="5">
        <v>2718</v>
      </c>
      <c r="E14" s="5">
        <v>2780</v>
      </c>
      <c r="F14" s="7">
        <f>(E14-D14)*20</f>
        <v>1240</v>
      </c>
      <c r="G14" s="6">
        <v>0</v>
      </c>
      <c r="H14" s="6">
        <v>0</v>
      </c>
      <c r="I14" s="6">
        <f t="shared" si="1"/>
        <v>1240</v>
      </c>
      <c r="J14" s="7">
        <f t="shared" si="0"/>
        <v>0.18071323432968506</v>
      </c>
    </row>
    <row r="15" spans="1:10" ht="15">
      <c r="A15" s="33"/>
      <c r="B15" s="4" t="s">
        <v>23</v>
      </c>
      <c r="C15" s="6"/>
      <c r="D15" s="5">
        <v>3000</v>
      </c>
      <c r="E15" s="5">
        <v>3120</v>
      </c>
      <c r="F15" s="7">
        <f>(E15-D15)*1</f>
        <v>120</v>
      </c>
      <c r="G15" s="6">
        <v>0</v>
      </c>
      <c r="H15" s="6">
        <v>0</v>
      </c>
      <c r="I15" s="6">
        <f t="shared" si="1"/>
        <v>120</v>
      </c>
      <c r="J15" s="7">
        <f t="shared" si="0"/>
        <v>0.017488377515775973</v>
      </c>
    </row>
    <row r="16" spans="1:10" ht="15">
      <c r="A16" s="33"/>
      <c r="B16" s="4" t="s">
        <v>24</v>
      </c>
      <c r="C16" s="6"/>
      <c r="D16" s="5">
        <v>8430</v>
      </c>
      <c r="E16" s="5">
        <v>8784</v>
      </c>
      <c r="F16" s="7">
        <f>(E16-D16)*1</f>
        <v>354</v>
      </c>
      <c r="G16" s="6">
        <v>0</v>
      </c>
      <c r="H16" s="6">
        <v>0</v>
      </c>
      <c r="I16" s="6">
        <f t="shared" si="1"/>
        <v>354</v>
      </c>
      <c r="J16" s="7">
        <f t="shared" si="0"/>
        <v>0.051590713671539126</v>
      </c>
    </row>
    <row r="17" spans="1:10" ht="15">
      <c r="A17" s="33"/>
      <c r="B17" s="19" t="s">
        <v>11</v>
      </c>
      <c r="C17" s="20"/>
      <c r="D17" s="8"/>
      <c r="E17" s="20"/>
      <c r="F17" s="21">
        <f>SUM(F11:F16)</f>
        <v>4864</v>
      </c>
      <c r="G17" s="21">
        <f>SUM(G11:G16)</f>
        <v>0</v>
      </c>
      <c r="H17" s="21">
        <f>SUM(H11:H16)</f>
        <v>0</v>
      </c>
      <c r="I17" s="21">
        <f>SUM(I11:I16)</f>
        <v>4864</v>
      </c>
      <c r="J17" s="7">
        <f t="shared" si="0"/>
        <v>0.7088622353061195</v>
      </c>
    </row>
    <row r="18" spans="1:10" ht="15">
      <c r="A18" s="33"/>
      <c r="B18" s="22" t="s">
        <v>19</v>
      </c>
      <c r="C18" s="12"/>
      <c r="D18" s="8"/>
      <c r="E18" s="12"/>
      <c r="F18" s="21">
        <f aca="true" t="shared" si="2" ref="F18:I19">F11+F13+F15</f>
        <v>2282</v>
      </c>
      <c r="G18" s="21">
        <f t="shared" si="2"/>
        <v>0</v>
      </c>
      <c r="H18" s="21">
        <f t="shared" si="2"/>
        <v>0</v>
      </c>
      <c r="I18" s="21">
        <f t="shared" si="2"/>
        <v>2282</v>
      </c>
      <c r="J18" s="7">
        <f t="shared" si="0"/>
        <v>0.3325706457583398</v>
      </c>
    </row>
    <row r="19" spans="1:10" ht="15">
      <c r="A19" s="34"/>
      <c r="B19" s="22" t="s">
        <v>20</v>
      </c>
      <c r="C19" s="12"/>
      <c r="D19" s="8"/>
      <c r="E19" s="12"/>
      <c r="F19" s="21">
        <f t="shared" si="2"/>
        <v>2582</v>
      </c>
      <c r="G19" s="21">
        <f t="shared" si="2"/>
        <v>0</v>
      </c>
      <c r="H19" s="21">
        <f t="shared" si="2"/>
        <v>0</v>
      </c>
      <c r="I19" s="21">
        <f t="shared" si="2"/>
        <v>2582</v>
      </c>
      <c r="J19" s="7">
        <f t="shared" si="0"/>
        <v>0.3762915895477797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I5:I6"/>
    <mergeCell ref="A11:A19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6" sqref="D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36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f>30.8</f>
        <v>30.8</v>
      </c>
      <c r="G7" s="23">
        <f>G8*0.0478</f>
        <v>26.117107400000002</v>
      </c>
      <c r="H7" s="23">
        <v>0</v>
      </c>
      <c r="I7" s="6">
        <f>21.5832*0.0478</f>
        <v>1.0316769600000002</v>
      </c>
      <c r="J7" s="7">
        <f aca="true" t="shared" si="0" ref="J7:J19">I7/6861.7</f>
        <v>0.00015035296792340093</v>
      </c>
      <c r="L7" s="9"/>
    </row>
    <row r="8" spans="1:12" ht="15">
      <c r="A8" s="3">
        <v>2</v>
      </c>
      <c r="B8" s="4" t="s">
        <v>32</v>
      </c>
      <c r="C8" s="7"/>
      <c r="D8" s="5"/>
      <c r="E8" s="5"/>
      <c r="F8" s="7">
        <f>668.29</f>
        <v>668.29</v>
      </c>
      <c r="G8" s="6">
        <f>492.913+53.47</f>
        <v>546.383</v>
      </c>
      <c r="H8" s="6">
        <v>0</v>
      </c>
      <c r="I8" s="6">
        <f>21.5832</f>
        <v>21.5832</v>
      </c>
      <c r="J8" s="7">
        <f t="shared" si="0"/>
        <v>0.003145459579987467</v>
      </c>
      <c r="L8" s="9"/>
    </row>
    <row r="9" spans="1:12" ht="15">
      <c r="A9" s="3">
        <v>3</v>
      </c>
      <c r="B9" s="4" t="s">
        <v>33</v>
      </c>
      <c r="C9" s="6" t="s">
        <v>37</v>
      </c>
      <c r="D9" s="5"/>
      <c r="E9" s="5"/>
      <c r="F9" s="6">
        <f>27447-26601</f>
        <v>846</v>
      </c>
      <c r="G9" s="6">
        <f>506.91+44.78</f>
        <v>551.69</v>
      </c>
      <c r="H9" s="6">
        <f>3+9+2</f>
        <v>14</v>
      </c>
      <c r="I9" s="6">
        <f>21.5832</f>
        <v>21.5832</v>
      </c>
      <c r="J9" s="7">
        <f t="shared" si="0"/>
        <v>0.003145459579987467</v>
      </c>
      <c r="L9" s="9"/>
    </row>
    <row r="10" spans="1:12" ht="15">
      <c r="A10" s="3">
        <v>4</v>
      </c>
      <c r="B10" s="4" t="s">
        <v>35</v>
      </c>
      <c r="C10" s="6"/>
      <c r="D10" s="5"/>
      <c r="E10" s="5"/>
      <c r="F10" s="6">
        <f>F8+F9</f>
        <v>1514.29</v>
      </c>
      <c r="G10" s="6">
        <f>1051.788+46.285</f>
        <v>1098.073</v>
      </c>
      <c r="H10" s="6">
        <f>H8+H9</f>
        <v>14</v>
      </c>
      <c r="I10" s="10">
        <v>0</v>
      </c>
      <c r="J10" s="7">
        <f t="shared" si="0"/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f>37185-8215</f>
        <v>28970</v>
      </c>
      <c r="E11" s="5">
        <f>37762-8228</f>
        <v>29534</v>
      </c>
      <c r="F11" s="7">
        <f>(E11-D11)*1</f>
        <v>564</v>
      </c>
      <c r="G11" s="6">
        <v>0</v>
      </c>
      <c r="H11" s="6">
        <v>0</v>
      </c>
      <c r="I11" s="6">
        <f aca="true" t="shared" si="1" ref="I11:I16">F11-G11-H11</f>
        <v>564</v>
      </c>
      <c r="J11" s="7">
        <f t="shared" si="0"/>
        <v>0.08219537432414709</v>
      </c>
      <c r="K11" s="11"/>
      <c r="L11" s="9"/>
    </row>
    <row r="12" spans="1:12" ht="15">
      <c r="A12" s="33"/>
      <c r="B12" s="4" t="s">
        <v>13</v>
      </c>
      <c r="C12" s="6"/>
      <c r="D12" s="5">
        <f>64860-23130</f>
        <v>41730</v>
      </c>
      <c r="E12" s="5">
        <f>66826-23982</f>
        <v>42844</v>
      </c>
      <c r="F12" s="7">
        <f>(E12-D12)*1</f>
        <v>1114</v>
      </c>
      <c r="G12" s="6">
        <v>0</v>
      </c>
      <c r="H12" s="6">
        <v>0</v>
      </c>
      <c r="I12" s="6">
        <f t="shared" si="1"/>
        <v>1114</v>
      </c>
      <c r="J12" s="7">
        <f t="shared" si="0"/>
        <v>0.1623504379381203</v>
      </c>
      <c r="K12" s="11"/>
      <c r="L12" s="9"/>
    </row>
    <row r="13" spans="1:12" ht="15">
      <c r="A13" s="33"/>
      <c r="B13" s="4" t="s">
        <v>17</v>
      </c>
      <c r="C13" s="6"/>
      <c r="D13" s="5">
        <v>2480</v>
      </c>
      <c r="E13" s="5">
        <v>2549</v>
      </c>
      <c r="F13" s="7">
        <f>(E13-D13)*20</f>
        <v>1380</v>
      </c>
      <c r="G13" s="6">
        <v>0</v>
      </c>
      <c r="H13" s="6">
        <v>0</v>
      </c>
      <c r="I13" s="6">
        <f t="shared" si="1"/>
        <v>1380</v>
      </c>
      <c r="J13" s="7">
        <f t="shared" si="0"/>
        <v>0.2011163414314237</v>
      </c>
      <c r="K13" s="11"/>
      <c r="L13" s="9"/>
    </row>
    <row r="14" spans="1:10" ht="15">
      <c r="A14" s="33"/>
      <c r="B14" s="4" t="s">
        <v>18</v>
      </c>
      <c r="C14" s="6"/>
      <c r="D14" s="5">
        <v>2780</v>
      </c>
      <c r="E14" s="5">
        <v>2869</v>
      </c>
      <c r="F14" s="7">
        <f>(E14-D14)*20</f>
        <v>1780</v>
      </c>
      <c r="G14" s="6">
        <v>0</v>
      </c>
      <c r="H14" s="6">
        <v>0</v>
      </c>
      <c r="I14" s="6">
        <f t="shared" si="1"/>
        <v>1780</v>
      </c>
      <c r="J14" s="7">
        <f t="shared" si="0"/>
        <v>0.2594109331506769</v>
      </c>
    </row>
    <row r="15" spans="1:10" ht="15">
      <c r="A15" s="33"/>
      <c r="B15" s="4" t="s">
        <v>23</v>
      </c>
      <c r="C15" s="6"/>
      <c r="D15" s="5">
        <v>3120</v>
      </c>
      <c r="E15" s="5">
        <v>3125</v>
      </c>
      <c r="F15" s="7">
        <f>(E15-D15)*1</f>
        <v>5</v>
      </c>
      <c r="G15" s="6">
        <v>0</v>
      </c>
      <c r="H15" s="6">
        <v>0</v>
      </c>
      <c r="I15" s="6">
        <f t="shared" si="1"/>
        <v>5</v>
      </c>
      <c r="J15" s="7">
        <f t="shared" si="0"/>
        <v>0.0007286823964906656</v>
      </c>
    </row>
    <row r="16" spans="1:10" ht="15">
      <c r="A16" s="33"/>
      <c r="B16" s="4" t="s">
        <v>24</v>
      </c>
      <c r="C16" s="6"/>
      <c r="D16" s="5">
        <v>8784</v>
      </c>
      <c r="E16" s="5">
        <v>9108</v>
      </c>
      <c r="F16" s="7">
        <f>(E16-D16)*1</f>
        <v>324</v>
      </c>
      <c r="G16" s="6">
        <v>0</v>
      </c>
      <c r="H16" s="6">
        <v>0</v>
      </c>
      <c r="I16" s="6">
        <f t="shared" si="1"/>
        <v>324</v>
      </c>
      <c r="J16" s="7">
        <f t="shared" si="0"/>
        <v>0.04721861929259513</v>
      </c>
    </row>
    <row r="17" spans="1:10" ht="15">
      <c r="A17" s="33"/>
      <c r="B17" s="19" t="s">
        <v>11</v>
      </c>
      <c r="C17" s="20"/>
      <c r="D17" s="8"/>
      <c r="E17" s="20"/>
      <c r="F17" s="21">
        <f>SUM(F11:F16)</f>
        <v>5167</v>
      </c>
      <c r="G17" s="21">
        <f>SUM(G11:G16)</f>
        <v>0</v>
      </c>
      <c r="H17" s="21">
        <f>SUM(H11:H16)</f>
        <v>0</v>
      </c>
      <c r="I17" s="21">
        <f>SUM(I11:I16)</f>
        <v>5167</v>
      </c>
      <c r="J17" s="7">
        <f t="shared" si="0"/>
        <v>0.7530203885334539</v>
      </c>
    </row>
    <row r="18" spans="1:10" ht="15">
      <c r="A18" s="33"/>
      <c r="B18" s="22" t="s">
        <v>19</v>
      </c>
      <c r="C18" s="12"/>
      <c r="D18" s="8"/>
      <c r="E18" s="12"/>
      <c r="F18" s="21">
        <f aca="true" t="shared" si="2" ref="F18:I19">F11+F13+F15</f>
        <v>1949</v>
      </c>
      <c r="G18" s="21">
        <f t="shared" si="2"/>
        <v>0</v>
      </c>
      <c r="H18" s="21">
        <f t="shared" si="2"/>
        <v>0</v>
      </c>
      <c r="I18" s="21">
        <f t="shared" si="2"/>
        <v>1949</v>
      </c>
      <c r="J18" s="7">
        <f t="shared" si="0"/>
        <v>0.28404039815206145</v>
      </c>
    </row>
    <row r="19" spans="1:10" ht="15">
      <c r="A19" s="34"/>
      <c r="B19" s="22" t="s">
        <v>20</v>
      </c>
      <c r="C19" s="12"/>
      <c r="D19" s="8"/>
      <c r="E19" s="12"/>
      <c r="F19" s="21">
        <f t="shared" si="2"/>
        <v>3218</v>
      </c>
      <c r="G19" s="21">
        <f t="shared" si="2"/>
        <v>0</v>
      </c>
      <c r="H19" s="21">
        <f t="shared" si="2"/>
        <v>0</v>
      </c>
      <c r="I19" s="21">
        <f t="shared" si="2"/>
        <v>3218</v>
      </c>
      <c r="J19" s="7">
        <f t="shared" si="0"/>
        <v>0.4689799903813924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A11:A19"/>
    <mergeCell ref="J5:J6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38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f>20.78</f>
        <v>20.78</v>
      </c>
      <c r="G7" s="23">
        <f>G8*0.0478</f>
        <v>25.1455246</v>
      </c>
      <c r="H7" s="23">
        <v>0</v>
      </c>
      <c r="I7" s="6">
        <f>F7-G7-H7</f>
        <v>-4.3655246000000005</v>
      </c>
      <c r="J7" s="7">
        <f aca="true" t="shared" si="0" ref="J7:J19">I7/6861.7</f>
        <v>-0.0006362161854933909</v>
      </c>
      <c r="L7" s="9"/>
    </row>
    <row r="8" spans="1:12" ht="15">
      <c r="A8" s="3">
        <v>2</v>
      </c>
      <c r="B8" s="4" t="s">
        <v>32</v>
      </c>
      <c r="C8" s="7"/>
      <c r="D8" s="5"/>
      <c r="E8" s="5"/>
      <c r="F8" s="7">
        <f>637.76</f>
        <v>637.76</v>
      </c>
      <c r="G8" s="6">
        <f>502.127+23.93</f>
        <v>526.057</v>
      </c>
      <c r="H8" s="6">
        <v>0</v>
      </c>
      <c r="I8" s="6">
        <f>21.5835</f>
        <v>21.5835</v>
      </c>
      <c r="J8" s="7">
        <f t="shared" si="0"/>
        <v>0.0031455033009312565</v>
      </c>
      <c r="L8" s="9"/>
    </row>
    <row r="9" spans="1:12" ht="15">
      <c r="A9" s="3">
        <v>3</v>
      </c>
      <c r="B9" s="4" t="s">
        <v>33</v>
      </c>
      <c r="C9" s="6" t="s">
        <v>39</v>
      </c>
      <c r="D9" s="5"/>
      <c r="E9" s="5"/>
      <c r="F9" s="6">
        <f>28250-27447</f>
        <v>803</v>
      </c>
      <c r="G9" s="6">
        <f>656.914+123.82</f>
        <v>780.7339999999999</v>
      </c>
      <c r="H9" s="6">
        <v>6</v>
      </c>
      <c r="I9" s="6">
        <f aca="true" t="shared" si="1" ref="I9:I16">F9-G9-H9</f>
        <v>16.266000000000076</v>
      </c>
      <c r="J9" s="7">
        <f t="shared" si="0"/>
        <v>0.0023705495722634445</v>
      </c>
      <c r="L9" s="9"/>
    </row>
    <row r="10" spans="1:12" ht="15">
      <c r="A10" s="3">
        <v>4</v>
      </c>
      <c r="B10" s="4" t="s">
        <v>35</v>
      </c>
      <c r="C10" s="6"/>
      <c r="D10" s="5"/>
      <c r="E10" s="5"/>
      <c r="F10" s="6">
        <f>F8+F9</f>
        <v>1440.76</v>
      </c>
      <c r="G10" s="6">
        <f>1220.611+86.18</f>
        <v>1306.7910000000002</v>
      </c>
      <c r="H10" s="6">
        <f>H8+H9</f>
        <v>6</v>
      </c>
      <c r="I10" s="10">
        <v>0</v>
      </c>
      <c r="J10" s="7">
        <f t="shared" si="0"/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f>37762-8228</f>
        <v>29534</v>
      </c>
      <c r="E11" s="5">
        <f>38227-8229</f>
        <v>29998</v>
      </c>
      <c r="F11" s="7">
        <f>(E11-D11)*1</f>
        <v>464</v>
      </c>
      <c r="G11" s="6">
        <v>0</v>
      </c>
      <c r="H11" s="6">
        <v>0</v>
      </c>
      <c r="I11" s="6">
        <f t="shared" si="1"/>
        <v>464</v>
      </c>
      <c r="J11" s="7">
        <f t="shared" si="0"/>
        <v>0.06762172639433377</v>
      </c>
      <c r="K11" s="11"/>
      <c r="L11" s="9"/>
    </row>
    <row r="12" spans="1:12" ht="15">
      <c r="A12" s="33"/>
      <c r="B12" s="4" t="s">
        <v>13</v>
      </c>
      <c r="C12" s="6"/>
      <c r="D12" s="5">
        <f>66826-23982</f>
        <v>42844</v>
      </c>
      <c r="E12" s="5">
        <f>68096-25226</f>
        <v>42870</v>
      </c>
      <c r="F12" s="7">
        <f>(E12-D12)*1</f>
        <v>26</v>
      </c>
      <c r="G12" s="6">
        <v>0</v>
      </c>
      <c r="H12" s="6">
        <v>0</v>
      </c>
      <c r="I12" s="6">
        <f t="shared" si="1"/>
        <v>26</v>
      </c>
      <c r="J12" s="7">
        <f t="shared" si="0"/>
        <v>0.0037891484617514613</v>
      </c>
      <c r="K12" s="11"/>
      <c r="L12" s="9"/>
    </row>
    <row r="13" spans="1:12" ht="15">
      <c r="A13" s="33"/>
      <c r="B13" s="4" t="s">
        <v>17</v>
      </c>
      <c r="C13" s="6"/>
      <c r="D13" s="5">
        <v>2549</v>
      </c>
      <c r="E13" s="5">
        <v>2596</v>
      </c>
      <c r="F13" s="7">
        <f>(E13-D13)*20</f>
        <v>940</v>
      </c>
      <c r="G13" s="6">
        <v>0</v>
      </c>
      <c r="H13" s="6">
        <v>0</v>
      </c>
      <c r="I13" s="6">
        <f t="shared" si="1"/>
        <v>940</v>
      </c>
      <c r="J13" s="7">
        <f t="shared" si="0"/>
        <v>0.13699229054024514</v>
      </c>
      <c r="K13" s="11"/>
      <c r="L13" s="9"/>
    </row>
    <row r="14" spans="1:10" ht="15">
      <c r="A14" s="33"/>
      <c r="B14" s="4" t="s">
        <v>18</v>
      </c>
      <c r="C14" s="6"/>
      <c r="D14" s="5">
        <v>2869</v>
      </c>
      <c r="E14" s="5">
        <v>2918</v>
      </c>
      <c r="F14" s="7">
        <f>(E14-D14)*20</f>
        <v>980</v>
      </c>
      <c r="G14" s="6">
        <v>0</v>
      </c>
      <c r="H14" s="6">
        <v>0</v>
      </c>
      <c r="I14" s="6">
        <f t="shared" si="1"/>
        <v>980</v>
      </c>
      <c r="J14" s="7">
        <f t="shared" si="0"/>
        <v>0.14282174971217046</v>
      </c>
    </row>
    <row r="15" spans="1:10" ht="15">
      <c r="A15" s="33"/>
      <c r="B15" s="4" t="s">
        <v>23</v>
      </c>
      <c r="C15" s="6"/>
      <c r="D15" s="5">
        <v>8228</v>
      </c>
      <c r="E15" s="5">
        <v>8229</v>
      </c>
      <c r="F15" s="7">
        <f>(E15-D15)*1</f>
        <v>1</v>
      </c>
      <c r="G15" s="6">
        <v>0</v>
      </c>
      <c r="H15" s="6">
        <v>0</v>
      </c>
      <c r="I15" s="6">
        <f t="shared" si="1"/>
        <v>1</v>
      </c>
      <c r="J15" s="7">
        <f t="shared" si="0"/>
        <v>0.00014573647929813313</v>
      </c>
    </row>
    <row r="16" spans="1:10" ht="15">
      <c r="A16" s="33"/>
      <c r="B16" s="4" t="s">
        <v>24</v>
      </c>
      <c r="C16" s="6"/>
      <c r="D16" s="5">
        <v>9108</v>
      </c>
      <c r="E16" s="5">
        <v>9580</v>
      </c>
      <c r="F16" s="7">
        <f>(E16-D16)*1</f>
        <v>472</v>
      </c>
      <c r="G16" s="6">
        <v>0</v>
      </c>
      <c r="H16" s="6">
        <v>0</v>
      </c>
      <c r="I16" s="6">
        <f t="shared" si="1"/>
        <v>472</v>
      </c>
      <c r="J16" s="7">
        <f t="shared" si="0"/>
        <v>0.06878761822871883</v>
      </c>
    </row>
    <row r="17" spans="1:10" ht="15">
      <c r="A17" s="33"/>
      <c r="B17" s="19" t="s">
        <v>11</v>
      </c>
      <c r="C17" s="20"/>
      <c r="D17" s="8"/>
      <c r="E17" s="20"/>
      <c r="F17" s="21">
        <f>SUM(F11:F16)</f>
        <v>2883</v>
      </c>
      <c r="G17" s="21">
        <f>SUM(G11:G16)</f>
        <v>0</v>
      </c>
      <c r="H17" s="21">
        <f>SUM(H11:H16)</f>
        <v>0</v>
      </c>
      <c r="I17" s="21">
        <f>SUM(I11:I16)</f>
        <v>2883</v>
      </c>
      <c r="J17" s="7">
        <f t="shared" si="0"/>
        <v>0.42015826981651777</v>
      </c>
    </row>
    <row r="18" spans="1:10" ht="15">
      <c r="A18" s="33"/>
      <c r="B18" s="22" t="s">
        <v>19</v>
      </c>
      <c r="C18" s="12"/>
      <c r="D18" s="8"/>
      <c r="E18" s="12"/>
      <c r="F18" s="21">
        <f aca="true" t="shared" si="2" ref="F18:I19">F11+F13+F15</f>
        <v>1405</v>
      </c>
      <c r="G18" s="21">
        <f t="shared" si="2"/>
        <v>0</v>
      </c>
      <c r="H18" s="21">
        <f t="shared" si="2"/>
        <v>0</v>
      </c>
      <c r="I18" s="21">
        <f t="shared" si="2"/>
        <v>1405</v>
      </c>
      <c r="J18" s="7">
        <f t="shared" si="0"/>
        <v>0.20475975341387703</v>
      </c>
    </row>
    <row r="19" spans="1:10" ht="15">
      <c r="A19" s="34"/>
      <c r="B19" s="22" t="s">
        <v>20</v>
      </c>
      <c r="C19" s="12"/>
      <c r="D19" s="8"/>
      <c r="E19" s="12"/>
      <c r="F19" s="21">
        <f t="shared" si="2"/>
        <v>1478</v>
      </c>
      <c r="G19" s="21">
        <f t="shared" si="2"/>
        <v>0</v>
      </c>
      <c r="H19" s="21">
        <f t="shared" si="2"/>
        <v>0</v>
      </c>
      <c r="I19" s="21">
        <f t="shared" si="2"/>
        <v>1478</v>
      </c>
      <c r="J19" s="7">
        <f t="shared" si="0"/>
        <v>0.21539851640264074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A11:A19"/>
    <mergeCell ref="J5:J6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40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f>20.79</f>
        <v>20.79</v>
      </c>
      <c r="G7" s="23">
        <f>G8*0.0478</f>
        <v>23.891396</v>
      </c>
      <c r="H7" s="23">
        <v>0</v>
      </c>
      <c r="I7" s="6">
        <f>F7-G7-H7</f>
        <v>-3.101396000000001</v>
      </c>
      <c r="J7" s="7">
        <f aca="true" t="shared" si="0" ref="J7:J19">I7/6861.7</f>
        <v>-0.000451986533949313</v>
      </c>
      <c r="L7" s="9"/>
    </row>
    <row r="8" spans="1:12" ht="15">
      <c r="A8" s="3">
        <v>2</v>
      </c>
      <c r="B8" s="4" t="s">
        <v>32</v>
      </c>
      <c r="C8" s="7"/>
      <c r="D8" s="5"/>
      <c r="E8" s="5"/>
      <c r="F8" s="7">
        <f>668.8</f>
        <v>668.8</v>
      </c>
      <c r="G8" s="6">
        <f>448.25+51.57</f>
        <v>499.82</v>
      </c>
      <c r="H8" s="6">
        <v>0</v>
      </c>
      <c r="I8" s="6">
        <f>21.5832</f>
        <v>21.5832</v>
      </c>
      <c r="J8" s="7">
        <f t="shared" si="0"/>
        <v>0.003145459579987467</v>
      </c>
      <c r="L8" s="9"/>
    </row>
    <row r="9" spans="1:12" ht="15">
      <c r="A9" s="3">
        <v>3</v>
      </c>
      <c r="B9" s="4" t="s">
        <v>33</v>
      </c>
      <c r="C9" s="6" t="s">
        <v>41</v>
      </c>
      <c r="D9" s="5"/>
      <c r="E9" s="5"/>
      <c r="F9" s="6">
        <f>29016-28250</f>
        <v>766</v>
      </c>
      <c r="G9" s="6">
        <f>568.82+206.28</f>
        <v>775.1</v>
      </c>
      <c r="H9" s="6">
        <f>11</f>
        <v>11</v>
      </c>
      <c r="I9" s="6">
        <f>F9-G9-H9</f>
        <v>-20.100000000000023</v>
      </c>
      <c r="J9" s="7">
        <f t="shared" si="0"/>
        <v>-0.002929303233892479</v>
      </c>
      <c r="L9" s="9"/>
    </row>
    <row r="10" spans="1:12" ht="15">
      <c r="A10" s="3">
        <v>4</v>
      </c>
      <c r="B10" s="4" t="s">
        <v>35</v>
      </c>
      <c r="C10" s="6"/>
      <c r="D10" s="5"/>
      <c r="E10" s="5"/>
      <c r="F10" s="6">
        <f>F8+F9</f>
        <v>1434.8</v>
      </c>
      <c r="G10" s="6">
        <f>1061.17+213.75</f>
        <v>1274.92</v>
      </c>
      <c r="H10" s="6">
        <f>H8+H9</f>
        <v>11</v>
      </c>
      <c r="I10" s="10">
        <v>0</v>
      </c>
      <c r="J10" s="7">
        <f t="shared" si="0"/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v>38227</v>
      </c>
      <c r="E11" s="5">
        <v>38597</v>
      </c>
      <c r="F11" s="7">
        <f>(E11-D11)*1</f>
        <v>370</v>
      </c>
      <c r="G11" s="6">
        <v>0</v>
      </c>
      <c r="H11" s="6">
        <v>0</v>
      </c>
      <c r="I11" s="6">
        <f aca="true" t="shared" si="1" ref="I11:I16">F11-G11-H11</f>
        <v>370</v>
      </c>
      <c r="J11" s="7">
        <f t="shared" si="0"/>
        <v>0.05392249734030925</v>
      </c>
      <c r="K11" s="11"/>
      <c r="L11" s="9"/>
    </row>
    <row r="12" spans="1:12" ht="15">
      <c r="A12" s="33"/>
      <c r="B12" s="4" t="s">
        <v>13</v>
      </c>
      <c r="C12" s="6"/>
      <c r="D12" s="5">
        <v>68096</v>
      </c>
      <c r="E12" s="5">
        <v>69166</v>
      </c>
      <c r="F12" s="7">
        <f>(E12-D12)*1</f>
        <v>1070</v>
      </c>
      <c r="G12" s="6">
        <v>0</v>
      </c>
      <c r="H12" s="6">
        <v>0</v>
      </c>
      <c r="I12" s="6">
        <f t="shared" si="1"/>
        <v>1070</v>
      </c>
      <c r="J12" s="7">
        <f t="shared" si="0"/>
        <v>0.15593803284900243</v>
      </c>
      <c r="K12" s="11"/>
      <c r="L12" s="9"/>
    </row>
    <row r="13" spans="1:12" ht="15">
      <c r="A13" s="33"/>
      <c r="B13" s="4" t="s">
        <v>17</v>
      </c>
      <c r="C13" s="6"/>
      <c r="D13" s="5">
        <v>2596</v>
      </c>
      <c r="E13" s="5">
        <v>2646</v>
      </c>
      <c r="F13" s="7">
        <f>(E13-D13)*20</f>
        <v>1000</v>
      </c>
      <c r="G13" s="6">
        <v>0</v>
      </c>
      <c r="H13" s="6">
        <v>0</v>
      </c>
      <c r="I13" s="6">
        <f t="shared" si="1"/>
        <v>1000</v>
      </c>
      <c r="J13" s="7">
        <f t="shared" si="0"/>
        <v>0.14573647929813313</v>
      </c>
      <c r="K13" s="11"/>
      <c r="L13" s="9"/>
    </row>
    <row r="14" spans="1:10" ht="15">
      <c r="A14" s="33"/>
      <c r="B14" s="4" t="s">
        <v>18</v>
      </c>
      <c r="C14" s="6"/>
      <c r="D14" s="5">
        <v>2918</v>
      </c>
      <c r="E14" s="5">
        <v>2956</v>
      </c>
      <c r="F14" s="7">
        <f>(E14-D14)*20</f>
        <v>760</v>
      </c>
      <c r="G14" s="6">
        <v>0</v>
      </c>
      <c r="H14" s="6">
        <v>0</v>
      </c>
      <c r="I14" s="6">
        <f t="shared" si="1"/>
        <v>760</v>
      </c>
      <c r="J14" s="7">
        <f t="shared" si="0"/>
        <v>0.11075972426658118</v>
      </c>
    </row>
    <row r="15" spans="1:10" ht="15">
      <c r="A15" s="33"/>
      <c r="B15" s="4" t="s">
        <v>23</v>
      </c>
      <c r="C15" s="6"/>
      <c r="D15" s="5">
        <v>3125</v>
      </c>
      <c r="E15" s="5">
        <v>3125</v>
      </c>
      <c r="F15" s="7">
        <f>(E15-D15)*1</f>
        <v>0</v>
      </c>
      <c r="G15" s="6">
        <v>0</v>
      </c>
      <c r="H15" s="6">
        <v>0</v>
      </c>
      <c r="I15" s="6">
        <f t="shared" si="1"/>
        <v>0</v>
      </c>
      <c r="J15" s="7">
        <f t="shared" si="0"/>
        <v>0</v>
      </c>
    </row>
    <row r="16" spans="1:10" ht="15">
      <c r="A16" s="33"/>
      <c r="B16" s="4" t="s">
        <v>24</v>
      </c>
      <c r="C16" s="6"/>
      <c r="D16" s="5">
        <v>9581</v>
      </c>
      <c r="E16" s="5">
        <v>9581</v>
      </c>
      <c r="F16" s="7">
        <f>(E16-D16)*1</f>
        <v>0</v>
      </c>
      <c r="G16" s="6">
        <v>0</v>
      </c>
      <c r="H16" s="6">
        <v>0</v>
      </c>
      <c r="I16" s="6">
        <f t="shared" si="1"/>
        <v>0</v>
      </c>
      <c r="J16" s="7">
        <f t="shared" si="0"/>
        <v>0</v>
      </c>
    </row>
    <row r="17" spans="1:10" ht="15">
      <c r="A17" s="33"/>
      <c r="B17" s="19" t="s">
        <v>11</v>
      </c>
      <c r="C17" s="20"/>
      <c r="D17" s="8"/>
      <c r="E17" s="20"/>
      <c r="F17" s="21">
        <f>SUM(F11:F16)</f>
        <v>3200</v>
      </c>
      <c r="G17" s="21">
        <f>SUM(G11:G16)</f>
        <v>0</v>
      </c>
      <c r="H17" s="21">
        <f>SUM(H11:H16)</f>
        <v>0</v>
      </c>
      <c r="I17" s="21">
        <f>SUM(I11:I16)</f>
        <v>3200</v>
      </c>
      <c r="J17" s="7">
        <f t="shared" si="0"/>
        <v>0.466356733754026</v>
      </c>
    </row>
    <row r="18" spans="1:10" ht="15">
      <c r="A18" s="33"/>
      <c r="B18" s="22" t="s">
        <v>19</v>
      </c>
      <c r="C18" s="12"/>
      <c r="D18" s="8"/>
      <c r="E18" s="12"/>
      <c r="F18" s="21">
        <f aca="true" t="shared" si="2" ref="F18:I19">F11+F13+F15</f>
        <v>1370</v>
      </c>
      <c r="G18" s="21">
        <f t="shared" si="2"/>
        <v>0</v>
      </c>
      <c r="H18" s="21">
        <f t="shared" si="2"/>
        <v>0</v>
      </c>
      <c r="I18" s="21">
        <f t="shared" si="2"/>
        <v>1370</v>
      </c>
      <c r="J18" s="7">
        <f t="shared" si="0"/>
        <v>0.19965897663844237</v>
      </c>
    </row>
    <row r="19" spans="1:10" ht="15">
      <c r="A19" s="34"/>
      <c r="B19" s="22" t="s">
        <v>20</v>
      </c>
      <c r="C19" s="12"/>
      <c r="D19" s="8"/>
      <c r="E19" s="12"/>
      <c r="F19" s="21">
        <f t="shared" si="2"/>
        <v>1830</v>
      </c>
      <c r="G19" s="21">
        <f t="shared" si="2"/>
        <v>0</v>
      </c>
      <c r="H19" s="21">
        <f t="shared" si="2"/>
        <v>0</v>
      </c>
      <c r="I19" s="21">
        <f t="shared" si="2"/>
        <v>1830</v>
      </c>
      <c r="J19" s="7">
        <f t="shared" si="0"/>
        <v>0.26669775711558363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I5:I6"/>
    <mergeCell ref="A11:A19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8" sqref="C8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42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v>18.47</v>
      </c>
      <c r="G7" s="23">
        <v>28.87598</v>
      </c>
      <c r="H7" s="23">
        <v>0</v>
      </c>
      <c r="I7" s="6">
        <v>-10.40598</v>
      </c>
      <c r="J7" s="7">
        <v>-0.0015165308888467873</v>
      </c>
      <c r="L7" s="9"/>
    </row>
    <row r="8" spans="1:12" ht="15">
      <c r="A8" s="3">
        <v>2</v>
      </c>
      <c r="B8" s="4" t="s">
        <v>32</v>
      </c>
      <c r="C8" s="7"/>
      <c r="D8" s="5"/>
      <c r="E8" s="5"/>
      <c r="F8" s="7">
        <v>611.87</v>
      </c>
      <c r="G8" s="6">
        <v>604.0999999999999</v>
      </c>
      <c r="H8" s="6">
        <v>0</v>
      </c>
      <c r="I8" s="6">
        <v>7.7700000000000955</v>
      </c>
      <c r="J8" s="7">
        <v>0.0011323724441465082</v>
      </c>
      <c r="L8" s="9"/>
    </row>
    <row r="9" spans="1:12" ht="15">
      <c r="A9" s="3">
        <v>3</v>
      </c>
      <c r="B9" s="4" t="s">
        <v>33</v>
      </c>
      <c r="C9" s="6" t="s">
        <v>43</v>
      </c>
      <c r="D9" s="5"/>
      <c r="E9" s="5"/>
      <c r="F9" s="6">
        <v>863</v>
      </c>
      <c r="G9" s="6">
        <v>639.858</v>
      </c>
      <c r="H9" s="6">
        <v>11</v>
      </c>
      <c r="I9" s="6">
        <v>21.5832</v>
      </c>
      <c r="J9" s="7">
        <v>0.003145459579987467</v>
      </c>
      <c r="L9" s="9"/>
    </row>
    <row r="10" spans="1:12" ht="15">
      <c r="A10" s="3">
        <v>4</v>
      </c>
      <c r="B10" s="4" t="s">
        <v>35</v>
      </c>
      <c r="C10" s="6"/>
      <c r="D10" s="5"/>
      <c r="E10" s="5"/>
      <c r="F10" s="6">
        <v>1474.87</v>
      </c>
      <c r="G10" s="6">
        <v>1243.958</v>
      </c>
      <c r="H10" s="6">
        <v>11</v>
      </c>
      <c r="I10" s="10">
        <v>0</v>
      </c>
      <c r="J10" s="7"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v>30368</v>
      </c>
      <c r="E11" s="5">
        <v>31223</v>
      </c>
      <c r="F11" s="7">
        <v>855</v>
      </c>
      <c r="G11" s="6">
        <v>0</v>
      </c>
      <c r="H11" s="6">
        <v>0</v>
      </c>
      <c r="I11" s="6">
        <v>855</v>
      </c>
      <c r="J11" s="7">
        <v>0.12460468979990381</v>
      </c>
      <c r="K11" s="11"/>
      <c r="L11" s="9"/>
    </row>
    <row r="12" spans="1:12" ht="15">
      <c r="A12" s="33"/>
      <c r="B12" s="4" t="s">
        <v>13</v>
      </c>
      <c r="C12" s="6"/>
      <c r="D12" s="5">
        <v>43940</v>
      </c>
      <c r="E12" s="5">
        <v>44979</v>
      </c>
      <c r="F12" s="7">
        <v>1039</v>
      </c>
      <c r="G12" s="6">
        <v>0</v>
      </c>
      <c r="H12" s="6">
        <v>0</v>
      </c>
      <c r="I12" s="6">
        <v>1039</v>
      </c>
      <c r="J12" s="7">
        <v>0.1514202019907603</v>
      </c>
      <c r="K12" s="11"/>
      <c r="L12" s="9"/>
    </row>
    <row r="13" spans="1:12" ht="15">
      <c r="A13" s="33"/>
      <c r="B13" s="4" t="s">
        <v>17</v>
      </c>
      <c r="C13" s="6"/>
      <c r="D13" s="5">
        <v>2646</v>
      </c>
      <c r="E13" s="5">
        <v>2720</v>
      </c>
      <c r="F13" s="7">
        <v>1480</v>
      </c>
      <c r="G13" s="6">
        <v>0</v>
      </c>
      <c r="H13" s="6">
        <v>0</v>
      </c>
      <c r="I13" s="6">
        <v>1480</v>
      </c>
      <c r="J13" s="7">
        <v>0.215689989361237</v>
      </c>
      <c r="K13" s="11"/>
      <c r="L13" s="9"/>
    </row>
    <row r="14" spans="1:10" ht="15">
      <c r="A14" s="33"/>
      <c r="B14" s="4" t="s">
        <v>18</v>
      </c>
      <c r="C14" s="6"/>
      <c r="D14" s="5">
        <v>2956</v>
      </c>
      <c r="E14" s="5">
        <v>3043</v>
      </c>
      <c r="F14" s="7">
        <v>1740</v>
      </c>
      <c r="G14" s="6">
        <v>0</v>
      </c>
      <c r="H14" s="6">
        <v>0</v>
      </c>
      <c r="I14" s="6">
        <v>1740</v>
      </c>
      <c r="J14" s="7">
        <v>0.25358147397875164</v>
      </c>
    </row>
    <row r="15" spans="1:10" ht="15">
      <c r="A15" s="33"/>
      <c r="B15" s="4" t="s">
        <v>23</v>
      </c>
      <c r="C15" s="6"/>
      <c r="D15" s="5">
        <v>8229</v>
      </c>
      <c r="E15" s="5">
        <v>8230</v>
      </c>
      <c r="F15" s="7">
        <v>1</v>
      </c>
      <c r="G15" s="6">
        <v>0</v>
      </c>
      <c r="H15" s="6">
        <v>0</v>
      </c>
      <c r="I15" s="6">
        <v>1</v>
      </c>
      <c r="J15" s="7">
        <v>0.00014573647929813313</v>
      </c>
    </row>
    <row r="16" spans="1:10" ht="15">
      <c r="A16" s="33"/>
      <c r="B16" s="4" t="s">
        <v>24</v>
      </c>
      <c r="C16" s="6"/>
      <c r="D16" s="5">
        <v>9581</v>
      </c>
      <c r="E16" s="5">
        <v>9917</v>
      </c>
      <c r="F16" s="7">
        <v>336</v>
      </c>
      <c r="G16" s="6">
        <v>0</v>
      </c>
      <c r="H16" s="6">
        <v>0</v>
      </c>
      <c r="I16" s="6">
        <v>336</v>
      </c>
      <c r="J16" s="7">
        <v>0.04896745704417273</v>
      </c>
    </row>
    <row r="17" spans="1:10" ht="15">
      <c r="A17" s="33"/>
      <c r="B17" s="19" t="s">
        <v>11</v>
      </c>
      <c r="C17" s="20"/>
      <c r="D17" s="8"/>
      <c r="E17" s="20"/>
      <c r="F17" s="21">
        <v>5451</v>
      </c>
      <c r="G17" s="21">
        <v>0</v>
      </c>
      <c r="H17" s="21">
        <v>0</v>
      </c>
      <c r="I17" s="21">
        <v>5451</v>
      </c>
      <c r="J17" s="7">
        <v>0.7944095486541236</v>
      </c>
    </row>
    <row r="18" spans="1:10" ht="15">
      <c r="A18" s="33"/>
      <c r="B18" s="22" t="s">
        <v>19</v>
      </c>
      <c r="C18" s="12"/>
      <c r="D18" s="8"/>
      <c r="E18" s="12"/>
      <c r="F18" s="21">
        <v>2336</v>
      </c>
      <c r="G18" s="21">
        <v>0</v>
      </c>
      <c r="H18" s="21">
        <v>0</v>
      </c>
      <c r="I18" s="21">
        <v>2336</v>
      </c>
      <c r="J18" s="7">
        <v>0.340440415640439</v>
      </c>
    </row>
    <row r="19" spans="1:10" ht="15">
      <c r="A19" s="34"/>
      <c r="B19" s="22" t="s">
        <v>20</v>
      </c>
      <c r="C19" s="12"/>
      <c r="D19" s="8"/>
      <c r="E19" s="12"/>
      <c r="F19" s="21">
        <v>3115</v>
      </c>
      <c r="G19" s="21">
        <v>0</v>
      </c>
      <c r="H19" s="21">
        <v>0</v>
      </c>
      <c r="I19" s="21">
        <v>3115</v>
      </c>
      <c r="J19" s="7">
        <v>0.4539691330136847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H5:H6"/>
    <mergeCell ref="I5:I6"/>
    <mergeCell ref="J5:J6"/>
    <mergeCell ref="A11:A19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00390625" style="0" customWidth="1"/>
    <col min="5" max="5" width="15.140625" style="0" customWidth="1"/>
    <col min="6" max="6" width="15.28125" style="0" customWidth="1"/>
    <col min="7" max="7" width="17.00390625" style="0" customWidth="1"/>
    <col min="8" max="8" width="15.7109375" style="0" customWidth="1"/>
    <col min="9" max="9" width="12.7109375" style="0" customWidth="1"/>
    <col min="10" max="10" width="12.00390625" style="0" customWidth="1"/>
    <col min="11" max="11" width="9.57421875" style="0" bestFit="1" customWidth="1"/>
  </cols>
  <sheetData>
    <row r="3" ht="15.75">
      <c r="C3" s="13" t="s">
        <v>44</v>
      </c>
    </row>
    <row r="4" spans="1:10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0.5" customHeight="1">
      <c r="A5" s="26" t="s">
        <v>0</v>
      </c>
      <c r="B5" s="28" t="s">
        <v>1</v>
      </c>
      <c r="C5" s="26" t="s">
        <v>2</v>
      </c>
      <c r="D5" s="30" t="s">
        <v>5</v>
      </c>
      <c r="E5" s="31"/>
      <c r="F5" s="26" t="s">
        <v>14</v>
      </c>
      <c r="G5" s="26" t="s">
        <v>15</v>
      </c>
      <c r="H5" s="26" t="s">
        <v>16</v>
      </c>
      <c r="I5" s="26" t="s">
        <v>3</v>
      </c>
      <c r="J5" s="28" t="s">
        <v>4</v>
      </c>
    </row>
    <row r="6" spans="1:10" ht="33.75" customHeight="1">
      <c r="A6" s="27"/>
      <c r="B6" s="29"/>
      <c r="C6" s="27"/>
      <c r="D6" s="14" t="s">
        <v>9</v>
      </c>
      <c r="E6" s="16" t="s">
        <v>10</v>
      </c>
      <c r="F6" s="27"/>
      <c r="G6" s="27"/>
      <c r="H6" s="27"/>
      <c r="I6" s="27"/>
      <c r="J6" s="29"/>
    </row>
    <row r="7" spans="1:12" ht="15.75">
      <c r="A7" s="17">
        <v>1</v>
      </c>
      <c r="B7" s="18" t="s">
        <v>22</v>
      </c>
      <c r="C7" s="15"/>
      <c r="D7" s="14"/>
      <c r="E7" s="16"/>
      <c r="F7" s="23">
        <v>28.25</v>
      </c>
      <c r="G7" s="23">
        <v>17.486196</v>
      </c>
      <c r="H7" s="23">
        <v>0</v>
      </c>
      <c r="I7" s="6">
        <v>1.0316769600000002</v>
      </c>
      <c r="J7" s="7">
        <v>0.00015035296792340093</v>
      </c>
      <c r="L7" s="9"/>
    </row>
    <row r="8" spans="1:12" ht="15">
      <c r="A8" s="3">
        <v>2</v>
      </c>
      <c r="B8" s="4" t="s">
        <v>32</v>
      </c>
      <c r="C8" s="7"/>
      <c r="D8" s="5"/>
      <c r="E8" s="5"/>
      <c r="F8" s="7">
        <v>678.04</v>
      </c>
      <c r="G8" s="6">
        <v>365.82</v>
      </c>
      <c r="H8" s="6">
        <v>0</v>
      </c>
      <c r="I8" s="6">
        <v>21.5832</v>
      </c>
      <c r="J8" s="7">
        <v>0.003145459579987467</v>
      </c>
      <c r="L8" s="9"/>
    </row>
    <row r="9" spans="1:12" ht="15">
      <c r="A9" s="3">
        <v>3</v>
      </c>
      <c r="B9" s="4" t="s">
        <v>33</v>
      </c>
      <c r="C9" s="6" t="s">
        <v>45</v>
      </c>
      <c r="D9" s="5"/>
      <c r="E9" s="5"/>
      <c r="F9" s="6">
        <v>809</v>
      </c>
      <c r="G9" s="6">
        <v>705.92</v>
      </c>
      <c r="H9" s="6">
        <v>8</v>
      </c>
      <c r="I9" s="6">
        <v>21.5832</v>
      </c>
      <c r="J9" s="7">
        <v>0.003145459579987467</v>
      </c>
      <c r="L9" s="9"/>
    </row>
    <row r="10" spans="1:12" ht="15">
      <c r="A10" s="3">
        <v>4</v>
      </c>
      <c r="B10" s="4" t="s">
        <v>35</v>
      </c>
      <c r="C10" s="6"/>
      <c r="D10" s="5"/>
      <c r="E10" s="5"/>
      <c r="F10" s="6">
        <v>1487.04</v>
      </c>
      <c r="G10" s="6">
        <v>1071.74</v>
      </c>
      <c r="H10" s="6">
        <v>8</v>
      </c>
      <c r="I10" s="10">
        <v>0</v>
      </c>
      <c r="J10" s="7">
        <v>0</v>
      </c>
      <c r="K10" s="11"/>
      <c r="L10" s="9"/>
    </row>
    <row r="11" spans="1:12" ht="15">
      <c r="A11" s="32">
        <v>5</v>
      </c>
      <c r="B11" s="4" t="s">
        <v>12</v>
      </c>
      <c r="C11" s="6"/>
      <c r="D11" s="5">
        <v>31223</v>
      </c>
      <c r="E11" s="5">
        <v>32019</v>
      </c>
      <c r="F11" s="7">
        <v>796</v>
      </c>
      <c r="G11" s="6">
        <v>0</v>
      </c>
      <c r="H11" s="6">
        <v>0</v>
      </c>
      <c r="I11" s="6">
        <v>796</v>
      </c>
      <c r="J11" s="7">
        <v>0.11600623752131396</v>
      </c>
      <c r="K11" s="11"/>
      <c r="L11" s="9"/>
    </row>
    <row r="12" spans="1:12" ht="15">
      <c r="A12" s="33"/>
      <c r="B12" s="4" t="s">
        <v>13</v>
      </c>
      <c r="C12" s="6"/>
      <c r="D12" s="5">
        <v>44979</v>
      </c>
      <c r="E12" s="5">
        <v>46124</v>
      </c>
      <c r="F12" s="7">
        <v>1145</v>
      </c>
      <c r="G12" s="6">
        <v>0</v>
      </c>
      <c r="H12" s="6">
        <v>0</v>
      </c>
      <c r="I12" s="6">
        <v>1145</v>
      </c>
      <c r="J12" s="7">
        <v>0.16686826879636243</v>
      </c>
      <c r="K12" s="11"/>
      <c r="L12" s="9"/>
    </row>
    <row r="13" spans="1:12" ht="15">
      <c r="A13" s="33"/>
      <c r="B13" s="4" t="s">
        <v>17</v>
      </c>
      <c r="C13" s="6"/>
      <c r="D13" s="5">
        <v>2720</v>
      </c>
      <c r="E13" s="5">
        <v>2790</v>
      </c>
      <c r="F13" s="7">
        <v>1400</v>
      </c>
      <c r="G13" s="6">
        <v>0</v>
      </c>
      <c r="H13" s="6">
        <v>0</v>
      </c>
      <c r="I13" s="6">
        <v>1400</v>
      </c>
      <c r="J13" s="7">
        <v>0.20403107101738638</v>
      </c>
      <c r="K13" s="11"/>
      <c r="L13" s="9"/>
    </row>
    <row r="14" spans="1:10" ht="15">
      <c r="A14" s="33"/>
      <c r="B14" s="4" t="s">
        <v>18</v>
      </c>
      <c r="C14" s="6"/>
      <c r="D14" s="5">
        <v>3043</v>
      </c>
      <c r="E14" s="5">
        <v>3117</v>
      </c>
      <c r="F14" s="7">
        <v>1480</v>
      </c>
      <c r="G14" s="6">
        <v>0</v>
      </c>
      <c r="H14" s="6">
        <v>0</v>
      </c>
      <c r="I14" s="6">
        <v>1480</v>
      </c>
      <c r="J14" s="7">
        <v>0.215689989361237</v>
      </c>
    </row>
    <row r="15" spans="1:10" ht="15">
      <c r="A15" s="33"/>
      <c r="B15" s="4" t="s">
        <v>23</v>
      </c>
      <c r="C15" s="6"/>
      <c r="D15" s="5">
        <v>3126</v>
      </c>
      <c r="E15" s="5">
        <v>3185</v>
      </c>
      <c r="F15" s="7">
        <v>59</v>
      </c>
      <c r="G15" s="6">
        <v>0</v>
      </c>
      <c r="H15" s="6">
        <v>0</v>
      </c>
      <c r="I15" s="6">
        <v>59</v>
      </c>
      <c r="J15" s="7">
        <v>0.008598452278589854</v>
      </c>
    </row>
    <row r="16" spans="1:10" ht="15">
      <c r="A16" s="33"/>
      <c r="B16" s="4" t="s">
        <v>24</v>
      </c>
      <c r="C16" s="6"/>
      <c r="D16" s="5">
        <v>9916</v>
      </c>
      <c r="E16" s="5">
        <v>10309</v>
      </c>
      <c r="F16" s="7">
        <v>393</v>
      </c>
      <c r="G16" s="6">
        <v>0</v>
      </c>
      <c r="H16" s="6">
        <v>0</v>
      </c>
      <c r="I16" s="6">
        <v>393</v>
      </c>
      <c r="J16" s="7">
        <v>0.05727443636416631</v>
      </c>
    </row>
    <row r="17" spans="1:10" ht="15">
      <c r="A17" s="33"/>
      <c r="B17" s="19" t="s">
        <v>11</v>
      </c>
      <c r="C17" s="20"/>
      <c r="D17" s="8"/>
      <c r="E17" s="20"/>
      <c r="F17" s="21">
        <v>5273</v>
      </c>
      <c r="G17" s="21">
        <v>0</v>
      </c>
      <c r="H17" s="21">
        <v>0</v>
      </c>
      <c r="I17" s="21">
        <v>5273</v>
      </c>
      <c r="J17" s="7">
        <v>0.768468455339056</v>
      </c>
    </row>
    <row r="18" spans="1:10" ht="15">
      <c r="A18" s="33"/>
      <c r="B18" s="22" t="s">
        <v>19</v>
      </c>
      <c r="C18" s="12"/>
      <c r="D18" s="8"/>
      <c r="E18" s="12"/>
      <c r="F18" s="21">
        <v>2255</v>
      </c>
      <c r="G18" s="21">
        <v>0</v>
      </c>
      <c r="H18" s="21">
        <v>0</v>
      </c>
      <c r="I18" s="21">
        <v>2255</v>
      </c>
      <c r="J18" s="7">
        <v>0.3286357608172902</v>
      </c>
    </row>
    <row r="19" spans="1:10" ht="15">
      <c r="A19" s="34"/>
      <c r="B19" s="22" t="s">
        <v>20</v>
      </c>
      <c r="C19" s="12"/>
      <c r="D19" s="8"/>
      <c r="E19" s="12"/>
      <c r="F19" s="21">
        <v>3018</v>
      </c>
      <c r="G19" s="21">
        <v>0</v>
      </c>
      <c r="H19" s="21">
        <v>0</v>
      </c>
      <c r="I19" s="21">
        <v>3018</v>
      </c>
      <c r="J19" s="7">
        <v>0.43983269452176577</v>
      </c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2"/>
    </row>
    <row r="24" spans="1:8" ht="15">
      <c r="A24" s="1"/>
      <c r="B24" s="1"/>
      <c r="C24" s="1"/>
      <c r="D24" s="1"/>
      <c r="E24" s="1"/>
      <c r="F24" s="1"/>
      <c r="G24" s="1"/>
      <c r="H24" s="2"/>
    </row>
    <row r="25" spans="1:8" ht="15">
      <c r="A25" s="1"/>
      <c r="B25" s="1"/>
      <c r="C25" s="1"/>
      <c r="D25" s="1"/>
      <c r="E25" s="1"/>
      <c r="F25" s="1"/>
      <c r="G25" s="1"/>
      <c r="H25" s="2"/>
    </row>
    <row r="26" spans="1:8" ht="15">
      <c r="A26" s="1"/>
      <c r="B26" s="1"/>
      <c r="C26" s="1"/>
      <c r="D26" s="1"/>
      <c r="E26" s="1"/>
      <c r="F26" s="1"/>
      <c r="G26" s="1"/>
      <c r="H26" s="2"/>
    </row>
    <row r="27" spans="1:8" ht="15">
      <c r="A27" s="1"/>
      <c r="B27" s="1"/>
      <c r="C27" s="1"/>
      <c r="D27" s="1"/>
      <c r="E27" s="1"/>
      <c r="F27" s="1"/>
      <c r="G27" s="1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J5:J6"/>
    <mergeCell ref="A11:A19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2012-12-03T10:41:47Z</cp:lastPrinted>
  <dcterms:created xsi:type="dcterms:W3CDTF">2006-09-16T00:00:00Z</dcterms:created>
  <dcterms:modified xsi:type="dcterms:W3CDTF">2015-01-30T08:44:26Z</dcterms:modified>
  <cp:category/>
  <cp:version/>
  <cp:contentType/>
  <cp:contentStatus/>
</cp:coreProperties>
</file>