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99-а (январь)  " sheetId="1" r:id="rId1"/>
    <sheet name="99-а (февраль)" sheetId="2" r:id="rId2"/>
    <sheet name="99-а (март)" sheetId="3" r:id="rId3"/>
    <sheet name="99-а (апрель)" sheetId="4" r:id="rId4"/>
    <sheet name="99-а (май)" sheetId="5" r:id="rId5"/>
    <sheet name="99-а (июнь)" sheetId="6" r:id="rId6"/>
    <sheet name="99-а (июль)" sheetId="7" r:id="rId7"/>
    <sheet name="99-а (август)" sheetId="8" r:id="rId8"/>
    <sheet name="99-а (сентябрь)" sheetId="9" r:id="rId9"/>
    <sheet name="99-а (октябрь)" sheetId="10" r:id="rId10"/>
    <sheet name="99-а (ноябрь)" sheetId="11" r:id="rId11"/>
    <sheet name="99-а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<sst xmlns="http://schemas.openxmlformats.org/spreadsheetml/2006/main" count="309" uniqueCount="48">
  <si>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</si>
  <si>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</si>
  <si>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</si>
  <si>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</si>
  <si>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</si>
  <si>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</si>
  <si>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</si>
  <si>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</si>
  <si>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Репина 99-а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</si>
  <si>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</si>
  <si>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</si>
  <si>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</si>
  <si>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</si>
  <si>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</si>
  <si>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</si>
  <si>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сч.674221</t>
  </si>
  <si>
    <t>эл.эн.ночь № сч.674221</t>
  </si>
  <si>
    <t>эл.эн. № сч.3118</t>
  </si>
  <si>
    <t>эл.эн.ночь № сч.687710</t>
  </si>
  <si>
    <t>эл.эн.день № сч.687710</t>
  </si>
  <si>
    <t>день эл.эн.</t>
  </si>
  <si>
    <t>ночь эл.эн.</t>
  </si>
  <si>
    <t>Объем коммунальных услуг по показаниям общедомовых приборов учета (ОДН) за январь в феврале 2013г.</t>
  </si>
  <si>
    <t>47762./48514</t>
  </si>
  <si>
    <t>Объем коммунальных услуг по показаниям общедомовых приборов учета (ОДН) за февраль в марте 2013г.</t>
  </si>
  <si>
    <t>48514./49436</t>
  </si>
  <si>
    <t>ХВС (тонн)</t>
  </si>
  <si>
    <t>Объем коммунальных услуг по показаниям общедомовых приборов учета (ОДН) за март в апреле 2013г.</t>
  </si>
  <si>
    <t>49436./50258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</si>
  <si>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</si>
  <si>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</si>
  <si>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50258./51111</t>
  </si>
  <si>
    <t>Объем коммунальных услуг по показаниям общедомовых приборов учета (ОДН) за май в июне 2013г.</t>
  </si>
  <si>
    <t>51111,/51876</t>
  </si>
  <si>
    <t>Объем коммунальных услуг по показаниям общедомовых приборов учета (ОДН) за июнь в июле 2013г.</t>
  </si>
  <si>
    <t>51876,/52655</t>
  </si>
  <si>
    <t>Объем коммунальных услуг по показаниям общедомовых приборов учета (ОДН) за июль в августе 2013г.</t>
  </si>
  <si>
    <t>52655,/53426</t>
  </si>
  <si>
    <t>Объем коммунальных услуг по показаниям общедомовых приборов учета (ОДН) за август в сентябре 2013г.</t>
  </si>
  <si>
    <t>53426,/54280</t>
  </si>
  <si>
    <t>Объем коммунальных услуг по показаниям общедомовых приборов учета (ОДН) за сентябрь в октябре 2013г.</t>
  </si>
  <si>
    <t>54280/55085</t>
  </si>
  <si>
    <t>Объем коммунальных услуг по показаниям общедомовых приборов учета (ОДН) за октябрь в ноябре 2013г.</t>
  </si>
  <si>
    <t>55085,/55962</t>
  </si>
  <si>
    <t>Объем коммунальных услуг по показаниям общедомовых приборов учета (ОДН) за ноябрь в декабре 2013г.</t>
  </si>
  <si>
    <t>55962,/56870</t>
  </si>
  <si>
    <t>56870,/57893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</si>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</sst>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#,##0.0000"/>
    <numFmt numFmtId="167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24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9" sqref="B9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1" t="s">
        <v>22</v>
      </c>
    </row>
    <row r="4" spans="1:10" ht="15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77.25" customHeight="1">
      <c r="A5" s="38" t="s">
        <v>0</v>
      </c>
      <c r="B5" s="40" t="s">
        <v>1</v>
      </c>
      <c r="C5" s="38" t="s">
        <v>2</v>
      </c>
      <c r="D5" s="47" t="s">
        <v>7</v>
      </c>
      <c r="E5" s="48"/>
      <c r="F5" s="38" t="s">
        <v>11</v>
      </c>
      <c r="G5" s="38" t="s">
        <v>3</v>
      </c>
      <c r="H5" s="38" t="s">
        <v>4</v>
      </c>
      <c r="I5" s="38" t="s">
        <v>5</v>
      </c>
      <c r="J5" s="40" t="s">
        <v>6</v>
      </c>
    </row>
    <row r="6" spans="1:10" ht="15.75">
      <c r="A6" s="39"/>
      <c r="B6" s="41"/>
      <c r="C6" s="39"/>
      <c r="D6" s="12" t="s">
        <v>12</v>
      </c>
      <c r="E6" s="5" t="s">
        <v>13</v>
      </c>
      <c r="F6" s="39"/>
      <c r="G6" s="39"/>
      <c r="H6" s="39"/>
      <c r="I6" s="39"/>
      <c r="J6" s="41"/>
    </row>
    <row r="7" spans="1:12" ht="15">
      <c r="A7" s="3">
        <v>1</v>
      </c>
      <c r="B7" s="4" t="s">
        <v>9</v>
      </c>
      <c r="C7" s="8"/>
      <c r="D7" s="6"/>
      <c r="E7" s="6"/>
      <c r="F7" s="7">
        <f>973.86</f>
        <v>973.86</v>
      </c>
      <c r="G7" s="7">
        <f>462.1525+189.389+19.312</f>
        <v>670.8535</v>
      </c>
      <c r="H7" s="7">
        <v>0</v>
      </c>
      <c r="I7" s="7">
        <f aca="true" t="shared" si="0" ref="I7:I14">F7-G7-H7</f>
        <v>303.00649999999996</v>
      </c>
      <c r="J7" s="8">
        <f>I7/7030.44</f>
        <v>0.04309922280824528</v>
      </c>
      <c r="L7" s="10"/>
    </row>
    <row r="8" spans="1:12" ht="15">
      <c r="A8" s="3">
        <v>2</v>
      </c>
      <c r="B8" s="4" t="s">
        <v>26</v>
      </c>
      <c r="C8" s="7" t="s">
        <v>23</v>
      </c>
      <c r="D8" s="6"/>
      <c r="E8" s="6"/>
      <c r="F8" s="7">
        <v>752</v>
      </c>
      <c r="G8" s="7">
        <f>545.7982+292.32+19.549</f>
        <v>857.6671999999999</v>
      </c>
      <c r="H8" s="7">
        <v>0</v>
      </c>
      <c r="I8" s="7">
        <f t="shared" si="0"/>
        <v>-105.66719999999987</v>
      </c>
      <c r="J8" s="8">
        <f aca="true" t="shared" si="1" ref="J8:J17">I8/7030.44</f>
        <v>-0.015029955450867922</v>
      </c>
      <c r="L8" s="10"/>
    </row>
    <row r="9" spans="1:12" ht="15">
      <c r="A9" s="3">
        <v>3</v>
      </c>
      <c r="B9" s="4" t="s">
        <v>10</v>
      </c>
      <c r="C9" s="7"/>
      <c r="D9" s="6"/>
      <c r="E9" s="6"/>
      <c r="F9" s="7">
        <f>F7+F8</f>
        <v>1725.8600000000001</v>
      </c>
      <c r="G9" s="7">
        <f>970.4864+440.939+38.711+51.8043+26.58</f>
        <v>1528.5207</v>
      </c>
      <c r="H9" s="7">
        <f>H7+H8</f>
        <v>0</v>
      </c>
      <c r="I9" s="7">
        <f t="shared" si="0"/>
        <v>197.3393000000001</v>
      </c>
      <c r="J9" s="8">
        <f t="shared" si="1"/>
        <v>0.028069267357377362</v>
      </c>
      <c r="L9" s="10"/>
    </row>
    <row r="10" spans="1:10" ht="15">
      <c r="A10" s="42">
        <v>4</v>
      </c>
      <c r="B10" s="4" t="s">
        <v>15</v>
      </c>
      <c r="C10" s="7"/>
      <c r="D10" s="6">
        <v>12236</v>
      </c>
      <c r="E10" s="6">
        <v>12361</v>
      </c>
      <c r="F10" s="8">
        <f>(E10-D10)*10</f>
        <v>1250</v>
      </c>
      <c r="G10" s="7">
        <v>0</v>
      </c>
      <c r="H10" s="7">
        <v>0</v>
      </c>
      <c r="I10" s="7">
        <f t="shared" si="0"/>
        <v>1250</v>
      </c>
      <c r="J10" s="8">
        <f t="shared" si="1"/>
        <v>0.17779826013734562</v>
      </c>
    </row>
    <row r="11" spans="1:10" ht="15">
      <c r="A11" s="43"/>
      <c r="B11" s="4" t="s">
        <v>16</v>
      </c>
      <c r="C11" s="7"/>
      <c r="D11" s="13">
        <v>11484</v>
      </c>
      <c r="E11" s="13">
        <v>11597</v>
      </c>
      <c r="F11" s="8">
        <f>(E11-D11)*10</f>
        <v>1130</v>
      </c>
      <c r="G11" s="7">
        <v>0</v>
      </c>
      <c r="H11" s="7">
        <v>0</v>
      </c>
      <c r="I11" s="7">
        <f t="shared" si="0"/>
        <v>1130</v>
      </c>
      <c r="J11" s="8">
        <f t="shared" si="1"/>
        <v>0.16072962716416042</v>
      </c>
    </row>
    <row r="12" spans="1:10" ht="15">
      <c r="A12" s="43"/>
      <c r="B12" s="4" t="s">
        <v>17</v>
      </c>
      <c r="C12" s="7"/>
      <c r="D12" s="13">
        <v>5267</v>
      </c>
      <c r="E12" s="13">
        <v>5327</v>
      </c>
      <c r="F12" s="8">
        <f>(E12-D12)*4</f>
        <v>240</v>
      </c>
      <c r="G12" s="7">
        <v>0</v>
      </c>
      <c r="H12" s="7">
        <v>0</v>
      </c>
      <c r="I12" s="7">
        <f t="shared" si="0"/>
        <v>240</v>
      </c>
      <c r="J12" s="8">
        <f t="shared" si="1"/>
        <v>0.03413726594637036</v>
      </c>
    </row>
    <row r="13" spans="1:10" ht="15">
      <c r="A13" s="43"/>
      <c r="B13" s="4" t="s">
        <v>19</v>
      </c>
      <c r="C13" s="7"/>
      <c r="D13" s="13">
        <v>104496</v>
      </c>
      <c r="E13" s="13">
        <v>106029</v>
      </c>
      <c r="F13" s="8">
        <f>(E13-D13)*1</f>
        <v>1533</v>
      </c>
      <c r="G13" s="7">
        <v>0</v>
      </c>
      <c r="H13" s="7">
        <v>0</v>
      </c>
      <c r="I13" s="7">
        <f t="shared" si="0"/>
        <v>1533</v>
      </c>
      <c r="J13" s="8">
        <f t="shared" si="1"/>
        <v>0.21805178623244065</v>
      </c>
    </row>
    <row r="14" spans="1:10" ht="15">
      <c r="A14" s="14"/>
      <c r="B14" s="4" t="s">
        <v>18</v>
      </c>
      <c r="C14" s="15"/>
      <c r="D14" s="13">
        <v>130958</v>
      </c>
      <c r="E14" s="16">
        <v>132928</v>
      </c>
      <c r="F14" s="8">
        <f>(E14-D14)*1</f>
        <v>1970</v>
      </c>
      <c r="G14" s="7">
        <v>0</v>
      </c>
      <c r="H14" s="15">
        <v>0</v>
      </c>
      <c r="I14" s="7">
        <f t="shared" si="0"/>
        <v>1970</v>
      </c>
      <c r="J14" s="8">
        <f t="shared" si="1"/>
        <v>0.2802100579764567</v>
      </c>
    </row>
    <row r="15" spans="1:10" ht="15">
      <c r="A15" s="17"/>
      <c r="B15" s="17" t="s">
        <v>14</v>
      </c>
      <c r="C15" s="17"/>
      <c r="D15" s="9"/>
      <c r="E15" s="17"/>
      <c r="F15" s="18">
        <f>SUM(F10:F14)</f>
        <v>6123</v>
      </c>
      <c r="G15" s="18">
        <f>SUM(G10:G14)</f>
        <v>0</v>
      </c>
      <c r="H15" s="18">
        <f>SUM(H10:H14)</f>
        <v>0</v>
      </c>
      <c r="I15" s="18">
        <f>SUM(I10:I14)</f>
        <v>6123</v>
      </c>
      <c r="J15" s="8">
        <f t="shared" si="1"/>
        <v>0.8709269974567737</v>
      </c>
    </row>
    <row r="16" spans="1:12" ht="15">
      <c r="A16" s="19"/>
      <c r="B16" s="19"/>
      <c r="C16" s="19"/>
      <c r="D16" s="20"/>
      <c r="E16" s="22" t="s">
        <v>20</v>
      </c>
      <c r="F16" s="21">
        <f>F10+F12+F13</f>
        <v>3023</v>
      </c>
      <c r="G16" s="21">
        <f>G10+G12+G13</f>
        <v>0</v>
      </c>
      <c r="H16" s="21">
        <f>H10+H12+H13</f>
        <v>0</v>
      </c>
      <c r="I16" s="21">
        <f>I10+I12+I13</f>
        <v>3023</v>
      </c>
      <c r="J16" s="8">
        <f t="shared" si="1"/>
        <v>0.4299873123161566</v>
      </c>
      <c r="K16" s="24"/>
      <c r="L16" s="10"/>
    </row>
    <row r="17" spans="1:12" ht="15">
      <c r="A17" s="19"/>
      <c r="B17" s="19"/>
      <c r="C17" s="19"/>
      <c r="D17" s="20"/>
      <c r="E17" s="22" t="s">
        <v>21</v>
      </c>
      <c r="F17" s="21">
        <f>F11+F14</f>
        <v>3100</v>
      </c>
      <c r="G17" s="21">
        <f>G11+G14</f>
        <v>0</v>
      </c>
      <c r="H17" s="21">
        <f>H11+H14</f>
        <v>0</v>
      </c>
      <c r="I17" s="21">
        <f>I11+I14</f>
        <v>3100</v>
      </c>
      <c r="J17" s="8">
        <f t="shared" si="1"/>
        <v>0.4409396851406171</v>
      </c>
      <c r="K17" s="24"/>
      <c r="L17" s="10"/>
    </row>
    <row r="18" spans="1:10" ht="15">
      <c r="A18" s="19"/>
      <c r="B18" s="19"/>
      <c r="C18" s="19"/>
      <c r="D18" s="20"/>
      <c r="E18" s="19"/>
      <c r="F18" s="21"/>
      <c r="G18" s="21"/>
      <c r="H18" s="21"/>
      <c r="I18" s="21"/>
      <c r="J18" s="21"/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H5:H6"/>
    <mergeCell ref="I5:I6"/>
    <mergeCell ref="J5:J6"/>
    <mergeCell ref="A10:A13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42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54.34</f>
        <v>54.34</v>
      </c>
      <c r="G7" s="35">
        <f>G8*0.0478</f>
        <v>31.363014</v>
      </c>
      <c r="H7" s="35">
        <v>0</v>
      </c>
      <c r="I7" s="35">
        <f>25.3071*0.0478</f>
        <v>1.20967938</v>
      </c>
      <c r="J7" s="8">
        <f aca="true" t="shared" si="0" ref="J7:J18">I7/7030.44</f>
        <v>0.00017206311127041838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669.19</f>
        <v>669.19</v>
      </c>
      <c r="G8" s="7">
        <f>421.05+232.02+3.06</f>
        <v>656.13</v>
      </c>
      <c r="H8" s="7">
        <v>0</v>
      </c>
      <c r="I8" s="7">
        <f>F8-G8-H8</f>
        <v>13.06000000000006</v>
      </c>
      <c r="J8" s="8">
        <f t="shared" si="0"/>
        <v>0.0018576362219149952</v>
      </c>
      <c r="L8" s="10"/>
    </row>
    <row r="9" spans="1:12" ht="15">
      <c r="A9" s="3">
        <v>3</v>
      </c>
      <c r="B9" s="4" t="s">
        <v>26</v>
      </c>
      <c r="C9" s="7" t="s">
        <v>43</v>
      </c>
      <c r="D9" s="6"/>
      <c r="E9" s="6"/>
      <c r="F9" s="7">
        <f>877</f>
        <v>877</v>
      </c>
      <c r="G9" s="7">
        <f>514.1+337.77+6.46</f>
        <v>858.33</v>
      </c>
      <c r="H9" s="7">
        <v>0</v>
      </c>
      <c r="I9" s="7">
        <f>F9-G9-H9</f>
        <v>18.66999999999996</v>
      </c>
      <c r="J9" s="8">
        <f t="shared" si="0"/>
        <v>0.002655594813411388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1546.19</v>
      </c>
      <c r="G10" s="7">
        <f>859.42+543.85+5.72+45.77+59.7</f>
        <v>1514.46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13088</v>
      </c>
      <c r="E11" s="6">
        <v>13184</v>
      </c>
      <c r="F11" s="8">
        <f>(E11-D11)*10</f>
        <v>960</v>
      </c>
      <c r="G11" s="7">
        <v>0</v>
      </c>
      <c r="H11" s="7">
        <v>0</v>
      </c>
      <c r="I11" s="7">
        <f>F11-G11-H11</f>
        <v>960</v>
      </c>
      <c r="J11" s="8">
        <f t="shared" si="0"/>
        <v>0.13654906378548143</v>
      </c>
    </row>
    <row r="12" spans="1:10" ht="15">
      <c r="A12" s="57"/>
      <c r="B12" s="4" t="s">
        <v>16</v>
      </c>
      <c r="C12" s="7"/>
      <c r="D12" s="13">
        <v>12288</v>
      </c>
      <c r="E12" s="13">
        <v>12391</v>
      </c>
      <c r="F12" s="8">
        <f>(E12-D12)*10</f>
        <v>1030</v>
      </c>
      <c r="G12" s="7">
        <v>0</v>
      </c>
      <c r="H12" s="7">
        <v>0</v>
      </c>
      <c r="I12" s="7">
        <f>F12-G12-H12</f>
        <v>1030</v>
      </c>
      <c r="J12" s="8">
        <f t="shared" si="0"/>
        <v>0.14650576635317278</v>
      </c>
    </row>
    <row r="13" spans="1:10" ht="15">
      <c r="A13" s="57"/>
      <c r="B13" s="4" t="s">
        <v>17</v>
      </c>
      <c r="C13" s="7"/>
      <c r="D13" s="13">
        <v>5667</v>
      </c>
      <c r="E13" s="13">
        <v>5712</v>
      </c>
      <c r="F13" s="8">
        <f>(E13-D13)*4</f>
        <v>180</v>
      </c>
      <c r="G13" s="7">
        <v>0</v>
      </c>
      <c r="H13" s="7">
        <v>0</v>
      </c>
      <c r="I13" s="7">
        <f>F13-G13-H13</f>
        <v>180</v>
      </c>
      <c r="J13" s="8">
        <f t="shared" si="0"/>
        <v>0.025602949459777768</v>
      </c>
    </row>
    <row r="14" spans="1:10" ht="15">
      <c r="A14" s="57"/>
      <c r="B14" s="4" t="s">
        <v>19</v>
      </c>
      <c r="C14" s="7"/>
      <c r="D14" s="13">
        <v>109550</v>
      </c>
      <c r="E14" s="13">
        <v>110120</v>
      </c>
      <c r="F14" s="8">
        <f>(E14-D14)*1</f>
        <v>570</v>
      </c>
      <c r="G14" s="7">
        <v>0</v>
      </c>
      <c r="H14" s="7">
        <v>0</v>
      </c>
      <c r="I14" s="7">
        <f>F14-G14-H14</f>
        <v>570</v>
      </c>
      <c r="J14" s="8">
        <f t="shared" si="0"/>
        <v>0.08107600662262959</v>
      </c>
    </row>
    <row r="15" spans="1:10" ht="15">
      <c r="A15" s="58"/>
      <c r="B15" s="4" t="s">
        <v>18</v>
      </c>
      <c r="C15" s="7"/>
      <c r="D15" s="13">
        <v>138470</v>
      </c>
      <c r="E15" s="13">
        <v>139420</v>
      </c>
      <c r="F15" s="8">
        <f>(E15-D15)*1</f>
        <v>950</v>
      </c>
      <c r="G15" s="7">
        <v>0</v>
      </c>
      <c r="H15" s="7">
        <v>0</v>
      </c>
      <c r="I15" s="7">
        <f>F15-G15-H15</f>
        <v>950</v>
      </c>
      <c r="J15" s="8">
        <f t="shared" si="0"/>
        <v>0.13512667770438266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3690</v>
      </c>
      <c r="G16" s="37">
        <f>SUM(G11:G15)</f>
        <v>0</v>
      </c>
      <c r="H16" s="37">
        <f>SUM(H11:H15)</f>
        <v>0</v>
      </c>
      <c r="I16" s="37">
        <f>SUM(I11:I15)</f>
        <v>3690</v>
      </c>
      <c r="J16" s="8">
        <f t="shared" si="0"/>
        <v>0.5248604639254443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1710</v>
      </c>
      <c r="G17" s="21">
        <f>G11+G13+G14</f>
        <v>0</v>
      </c>
      <c r="H17" s="21">
        <f>H11+H13+H14</f>
        <v>0</v>
      </c>
      <c r="I17" s="21">
        <f>I11+I13+I14</f>
        <v>1710</v>
      </c>
      <c r="J17" s="8">
        <f t="shared" si="0"/>
        <v>0.2432280198678888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1980</v>
      </c>
      <c r="G18" s="21">
        <f>G12+G15</f>
        <v>0</v>
      </c>
      <c r="H18" s="21">
        <f>H12+H15</f>
        <v>0</v>
      </c>
      <c r="I18" s="21">
        <f>I12+I15</f>
        <v>1980</v>
      </c>
      <c r="J18" s="8">
        <f t="shared" si="0"/>
        <v>0.28163244405755544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5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44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57.94</f>
        <v>57.94</v>
      </c>
      <c r="G7" s="35">
        <f>G8*0.0478</f>
        <v>31.161298000000006</v>
      </c>
      <c r="H7" s="35">
        <v>0</v>
      </c>
      <c r="I7" s="7">
        <f>25.3071*0.0478</f>
        <v>1.20967938</v>
      </c>
      <c r="J7" s="8">
        <f aca="true" t="shared" si="0" ref="J7:J18">I7/7030.44</f>
        <v>0.00017206311127041838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645.5</f>
        <v>645.5</v>
      </c>
      <c r="G8" s="7">
        <f>230.86+421.05</f>
        <v>651.9100000000001</v>
      </c>
      <c r="H8" s="7">
        <v>0</v>
      </c>
      <c r="I8" s="7">
        <f>F8-G8-H8</f>
        <v>-6.410000000000082</v>
      </c>
      <c r="J8" s="8">
        <f t="shared" si="0"/>
        <v>-0.0009117494779843199</v>
      </c>
      <c r="L8" s="10"/>
    </row>
    <row r="9" spans="1:12" ht="15">
      <c r="A9" s="3">
        <v>3</v>
      </c>
      <c r="B9" s="4" t="s">
        <v>26</v>
      </c>
      <c r="C9" s="7" t="s">
        <v>45</v>
      </c>
      <c r="D9" s="6"/>
      <c r="E9" s="6"/>
      <c r="F9" s="7">
        <f>908</f>
        <v>908</v>
      </c>
      <c r="G9" s="7">
        <f>514.1+327.64+2.8</f>
        <v>844.54</v>
      </c>
      <c r="H9" s="7">
        <v>0</v>
      </c>
      <c r="I9" s="7">
        <v>25.3071</v>
      </c>
      <c r="J9" s="8">
        <f t="shared" si="0"/>
        <v>0.003599646679297455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1553.5</v>
      </c>
      <c r="G10" s="7">
        <f>859.42+525.02+1.16+50.69+60.16</f>
        <v>1496.4500000000003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13184</v>
      </c>
      <c r="E11" s="6">
        <v>13293</v>
      </c>
      <c r="F11" s="8">
        <f>(E11-D11)*10</f>
        <v>1090</v>
      </c>
      <c r="G11" s="7">
        <v>0</v>
      </c>
      <c r="H11" s="7">
        <v>0</v>
      </c>
      <c r="I11" s="7">
        <f>F11-G11-H11</f>
        <v>1090</v>
      </c>
      <c r="J11" s="8">
        <f t="shared" si="0"/>
        <v>0.15504008283976536</v>
      </c>
    </row>
    <row r="12" spans="1:10" ht="15">
      <c r="A12" s="57"/>
      <c r="B12" s="4" t="s">
        <v>16</v>
      </c>
      <c r="C12" s="7"/>
      <c r="D12" s="13">
        <v>12391</v>
      </c>
      <c r="E12" s="13">
        <v>12497</v>
      </c>
      <c r="F12" s="8">
        <f>(E12-D12)*10</f>
        <v>1060</v>
      </c>
      <c r="G12" s="7">
        <v>0</v>
      </c>
      <c r="H12" s="7">
        <v>0</v>
      </c>
      <c r="I12" s="7">
        <f>F12-G12-H12</f>
        <v>1060</v>
      </c>
      <c r="J12" s="8">
        <f t="shared" si="0"/>
        <v>0.15077292459646907</v>
      </c>
    </row>
    <row r="13" spans="1:10" ht="15">
      <c r="A13" s="57"/>
      <c r="B13" s="4" t="s">
        <v>17</v>
      </c>
      <c r="C13" s="7"/>
      <c r="D13" s="13">
        <v>5712</v>
      </c>
      <c r="E13" s="13">
        <v>5752</v>
      </c>
      <c r="F13" s="8">
        <f>(E13-D13)*4</f>
        <v>160</v>
      </c>
      <c r="G13" s="7">
        <v>0</v>
      </c>
      <c r="H13" s="7">
        <v>0</v>
      </c>
      <c r="I13" s="7">
        <f>F13-G13-H13</f>
        <v>160</v>
      </c>
      <c r="J13" s="8">
        <f t="shared" si="0"/>
        <v>0.02275817729758024</v>
      </c>
    </row>
    <row r="14" spans="1:10" ht="15">
      <c r="A14" s="57"/>
      <c r="B14" s="4" t="s">
        <v>19</v>
      </c>
      <c r="C14" s="7"/>
      <c r="D14" s="13">
        <v>110120</v>
      </c>
      <c r="E14" s="13">
        <v>110810</v>
      </c>
      <c r="F14" s="8">
        <f>(E14-D14)*1</f>
        <v>690</v>
      </c>
      <c r="G14" s="7">
        <v>0</v>
      </c>
      <c r="H14" s="7">
        <v>0</v>
      </c>
      <c r="I14" s="7">
        <f>F14-G14-H14</f>
        <v>690</v>
      </c>
      <c r="J14" s="8">
        <f t="shared" si="0"/>
        <v>0.09814463959581478</v>
      </c>
    </row>
    <row r="15" spans="1:10" ht="15">
      <c r="A15" s="58"/>
      <c r="B15" s="4" t="s">
        <v>18</v>
      </c>
      <c r="C15" s="7"/>
      <c r="D15" s="13">
        <v>139420</v>
      </c>
      <c r="E15" s="13">
        <v>140290</v>
      </c>
      <c r="F15" s="8">
        <f>(E15-D15)*1</f>
        <v>870</v>
      </c>
      <c r="G15" s="7">
        <v>0</v>
      </c>
      <c r="H15" s="7">
        <v>0</v>
      </c>
      <c r="I15" s="7">
        <f>F15-G15-H15</f>
        <v>870</v>
      </c>
      <c r="J15" s="8">
        <f t="shared" si="0"/>
        <v>0.12374758905559255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3870</v>
      </c>
      <c r="G16" s="37">
        <f>SUM(G11:G15)</f>
        <v>0</v>
      </c>
      <c r="H16" s="37">
        <f>SUM(H11:H15)</f>
        <v>0</v>
      </c>
      <c r="I16" s="37">
        <f>SUM(I11:I15)</f>
        <v>3870</v>
      </c>
      <c r="J16" s="8">
        <f t="shared" si="0"/>
        <v>0.550463413385222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1940</v>
      </c>
      <c r="G17" s="21">
        <f>G11+G13+G14</f>
        <v>0</v>
      </c>
      <c r="H17" s="21">
        <f>H11+H13+H14</f>
        <v>0</v>
      </c>
      <c r="I17" s="21">
        <f>I11+I13+I14</f>
        <v>1940</v>
      </c>
      <c r="J17" s="8">
        <f t="shared" si="0"/>
        <v>0.2759428997331604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1930</v>
      </c>
      <c r="G18" s="21">
        <f>G12+G15</f>
        <v>0</v>
      </c>
      <c r="H18" s="21">
        <f>H12+H15</f>
        <v>0</v>
      </c>
      <c r="I18" s="21">
        <f>I12+I15</f>
        <v>1930</v>
      </c>
      <c r="J18" s="8">
        <f t="shared" si="0"/>
        <v>0.27452051365206165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47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61.59</f>
        <v>61.59</v>
      </c>
      <c r="G7" s="35">
        <f>G8*0.0478</f>
        <v>31.013858900000002</v>
      </c>
      <c r="H7" s="35">
        <v>0</v>
      </c>
      <c r="I7" s="7">
        <f>25.3071*0.0478</f>
        <v>1.20967938</v>
      </c>
      <c r="J7" s="8">
        <f aca="true" t="shared" si="0" ref="J7:J18">I7/7030.44</f>
        <v>0.00017206311127041838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642.27</f>
        <v>642.27</v>
      </c>
      <c r="G8" s="7">
        <f>413.9355+191.77+43.12</f>
        <v>648.8255</v>
      </c>
      <c r="H8" s="7">
        <v>0</v>
      </c>
      <c r="I8" s="7">
        <f>F8-G8-H8</f>
        <v>-6.555500000000052</v>
      </c>
      <c r="J8" s="8">
        <f t="shared" si="0"/>
        <v>-0.0009324451954643027</v>
      </c>
      <c r="L8" s="10"/>
    </row>
    <row r="9" spans="1:12" ht="15">
      <c r="A9" s="3">
        <v>3</v>
      </c>
      <c r="B9" s="4" t="s">
        <v>26</v>
      </c>
      <c r="C9" s="7" t="s">
        <v>46</v>
      </c>
      <c r="D9" s="6"/>
      <c r="E9" s="6"/>
      <c r="F9" s="7">
        <f>1023</f>
        <v>1023</v>
      </c>
      <c r="G9" s="7">
        <f>476.3952+195.56+180.17</f>
        <v>852.1252</v>
      </c>
      <c r="H9" s="7">
        <v>0</v>
      </c>
      <c r="I9" s="7">
        <v>25.3071</v>
      </c>
      <c r="J9" s="8">
        <f t="shared" si="0"/>
        <v>0.003599646679297455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1665.27</v>
      </c>
      <c r="G10" s="7">
        <f>843.7006+350.78+221.22+61.72+23.53</f>
        <v>1500.9506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13293</v>
      </c>
      <c r="E11" s="6">
        <v>13382</v>
      </c>
      <c r="F11" s="8">
        <f>(E11-D11)*10</f>
        <v>890</v>
      </c>
      <c r="G11" s="7">
        <v>0</v>
      </c>
      <c r="H11" s="7">
        <v>0</v>
      </c>
      <c r="I11" s="7">
        <f>F11-G11-H11</f>
        <v>890</v>
      </c>
      <c r="J11" s="8">
        <f t="shared" si="0"/>
        <v>0.12659236121779008</v>
      </c>
    </row>
    <row r="12" spans="1:10" ht="15">
      <c r="A12" s="57"/>
      <c r="B12" s="4" t="s">
        <v>16</v>
      </c>
      <c r="C12" s="7"/>
      <c r="D12" s="13">
        <v>12497</v>
      </c>
      <c r="E12" s="13">
        <v>12581</v>
      </c>
      <c r="F12" s="8">
        <f>(E12-D12)*10</f>
        <v>840</v>
      </c>
      <c r="G12" s="7">
        <v>0</v>
      </c>
      <c r="H12" s="7">
        <v>0</v>
      </c>
      <c r="I12" s="7">
        <f>F12-G12-H12</f>
        <v>840</v>
      </c>
      <c r="J12" s="8">
        <f t="shared" si="0"/>
        <v>0.11948043081229626</v>
      </c>
    </row>
    <row r="13" spans="1:10" ht="15">
      <c r="A13" s="57"/>
      <c r="B13" s="4" t="s">
        <v>17</v>
      </c>
      <c r="C13" s="7"/>
      <c r="D13" s="13">
        <v>5752</v>
      </c>
      <c r="E13" s="13">
        <v>5783</v>
      </c>
      <c r="F13" s="8">
        <f>(E13-D13)*4</f>
        <v>124</v>
      </c>
      <c r="G13" s="7">
        <v>0</v>
      </c>
      <c r="H13" s="7">
        <v>0</v>
      </c>
      <c r="I13" s="7">
        <f>F13-G13-H13</f>
        <v>124</v>
      </c>
      <c r="J13" s="8">
        <f t="shared" si="0"/>
        <v>0.017637587405624683</v>
      </c>
    </row>
    <row r="14" spans="1:10" ht="15">
      <c r="A14" s="57"/>
      <c r="B14" s="4" t="s">
        <v>19</v>
      </c>
      <c r="C14" s="7"/>
      <c r="D14" s="13">
        <v>110810</v>
      </c>
      <c r="E14" s="13">
        <v>111544</v>
      </c>
      <c r="F14" s="8">
        <f>(E14-D14)*1</f>
        <v>734</v>
      </c>
      <c r="G14" s="7">
        <v>0</v>
      </c>
      <c r="H14" s="7">
        <v>0</v>
      </c>
      <c r="I14" s="7">
        <f>F14-G14-H14</f>
        <v>734</v>
      </c>
      <c r="J14" s="8">
        <f t="shared" si="0"/>
        <v>0.10440313835264935</v>
      </c>
    </row>
    <row r="15" spans="1:10" ht="15">
      <c r="A15" s="58"/>
      <c r="B15" s="4" t="s">
        <v>18</v>
      </c>
      <c r="C15" s="7"/>
      <c r="D15" s="13">
        <v>140290</v>
      </c>
      <c r="E15" s="13">
        <v>141097</v>
      </c>
      <c r="F15" s="8">
        <f>(E15-D15)*1</f>
        <v>807</v>
      </c>
      <c r="G15" s="7">
        <v>0</v>
      </c>
      <c r="H15" s="7">
        <v>0</v>
      </c>
      <c r="I15" s="7">
        <f>F15-G15-H15</f>
        <v>807</v>
      </c>
      <c r="J15" s="8">
        <f t="shared" si="0"/>
        <v>0.11478655674467032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3395</v>
      </c>
      <c r="G16" s="37">
        <f>SUM(G11:G15)</f>
        <v>0</v>
      </c>
      <c r="H16" s="37">
        <f>SUM(H11:H15)</f>
        <v>0</v>
      </c>
      <c r="I16" s="37">
        <f>SUM(I11:I15)</f>
        <v>3395</v>
      </c>
      <c r="J16" s="8">
        <f t="shared" si="0"/>
        <v>0.4829000745330307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1748</v>
      </c>
      <c r="G17" s="21">
        <f>G11+G13+G14</f>
        <v>0</v>
      </c>
      <c r="H17" s="21">
        <f>H11+H13+H14</f>
        <v>0</v>
      </c>
      <c r="I17" s="21">
        <f>I11+I13+I14</f>
        <v>1748</v>
      </c>
      <c r="J17" s="8">
        <f t="shared" si="0"/>
        <v>0.2486330869760641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1647</v>
      </c>
      <c r="G18" s="21">
        <f>G12+G15</f>
        <v>0</v>
      </c>
      <c r="H18" s="21">
        <f>H12+H15</f>
        <v>0</v>
      </c>
      <c r="I18" s="21">
        <f>I12+I15</f>
        <v>1647</v>
      </c>
      <c r="J18" s="8">
        <f t="shared" si="0"/>
        <v>0.23426698755696657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H5:H6"/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3" sqref="C13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1" t="s">
        <v>24</v>
      </c>
    </row>
    <row r="4" spans="1:10" ht="15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77.25" customHeight="1">
      <c r="A5" s="38" t="s">
        <v>0</v>
      </c>
      <c r="B5" s="40" t="s">
        <v>1</v>
      </c>
      <c r="C5" s="38" t="s">
        <v>2</v>
      </c>
      <c r="D5" s="47" t="s">
        <v>7</v>
      </c>
      <c r="E5" s="48"/>
      <c r="F5" s="38" t="s">
        <v>11</v>
      </c>
      <c r="G5" s="38" t="s">
        <v>3</v>
      </c>
      <c r="H5" s="38" t="s">
        <v>4</v>
      </c>
      <c r="I5" s="38" t="s">
        <v>5</v>
      </c>
      <c r="J5" s="40" t="s">
        <v>6</v>
      </c>
    </row>
    <row r="6" spans="1:10" ht="15.75">
      <c r="A6" s="39"/>
      <c r="B6" s="41"/>
      <c r="C6" s="39"/>
      <c r="D6" s="12" t="s">
        <v>12</v>
      </c>
      <c r="E6" s="5" t="s">
        <v>13</v>
      </c>
      <c r="F6" s="39"/>
      <c r="G6" s="39"/>
      <c r="H6" s="39"/>
      <c r="I6" s="39"/>
      <c r="J6" s="41"/>
    </row>
    <row r="7" spans="1:12" ht="15">
      <c r="A7" s="3">
        <v>1</v>
      </c>
      <c r="B7" s="4" t="s">
        <v>9</v>
      </c>
      <c r="C7" s="8"/>
      <c r="D7" s="6"/>
      <c r="E7" s="6"/>
      <c r="F7" s="7">
        <f>973.86</f>
        <v>973.86</v>
      </c>
      <c r="G7" s="7">
        <f>450.6723+269.271+9.98</f>
        <v>729.9233</v>
      </c>
      <c r="H7" s="7">
        <v>0</v>
      </c>
      <c r="I7" s="7">
        <f aca="true" t="shared" si="0" ref="I7:I14">F7-G7-H7</f>
        <v>243.93669999999997</v>
      </c>
      <c r="J7" s="8">
        <f aca="true" t="shared" si="1" ref="J7:J17">I7/7030.44</f>
        <v>0.03469721667491651</v>
      </c>
      <c r="L7" s="10"/>
    </row>
    <row r="8" spans="1:12" ht="15">
      <c r="A8" s="3">
        <v>2</v>
      </c>
      <c r="B8" s="4" t="s">
        <v>26</v>
      </c>
      <c r="C8" s="7" t="s">
        <v>25</v>
      </c>
      <c r="D8" s="6"/>
      <c r="E8" s="6"/>
      <c r="F8" s="7">
        <v>922</v>
      </c>
      <c r="G8" s="7">
        <f>540.2274+322.122+16.68</f>
        <v>879.0294</v>
      </c>
      <c r="H8" s="7">
        <v>0</v>
      </c>
      <c r="I8" s="7">
        <f t="shared" si="0"/>
        <v>42.97059999999999</v>
      </c>
      <c r="J8" s="8">
        <f t="shared" si="1"/>
        <v>0.006112078333646257</v>
      </c>
      <c r="L8" s="10"/>
    </row>
    <row r="9" spans="1:12" ht="15">
      <c r="A9" s="3">
        <v>3</v>
      </c>
      <c r="B9" s="4" t="s">
        <v>10</v>
      </c>
      <c r="C9" s="7"/>
      <c r="D9" s="6"/>
      <c r="E9" s="6"/>
      <c r="F9" s="7">
        <f>F7+F8</f>
        <v>1895.8600000000001</v>
      </c>
      <c r="G9" s="7">
        <f>960.3097+587.843+26.28+7.94+26.58</f>
        <v>1608.9527</v>
      </c>
      <c r="H9" s="7">
        <f>H7+H8</f>
        <v>0</v>
      </c>
      <c r="I9" s="7">
        <f t="shared" si="0"/>
        <v>286.9073000000001</v>
      </c>
      <c r="J9" s="8">
        <f t="shared" si="1"/>
        <v>0.04080929500856278</v>
      </c>
      <c r="L9" s="10"/>
    </row>
    <row r="10" spans="1:10" ht="15">
      <c r="A10" s="42">
        <v>4</v>
      </c>
      <c r="B10" s="4" t="s">
        <v>15</v>
      </c>
      <c r="C10" s="7"/>
      <c r="D10" s="6">
        <v>12361</v>
      </c>
      <c r="E10" s="6">
        <v>12455</v>
      </c>
      <c r="F10" s="8">
        <f>(E10-D10)*10</f>
        <v>940</v>
      </c>
      <c r="G10" s="7">
        <v>0</v>
      </c>
      <c r="H10" s="7">
        <v>0</v>
      </c>
      <c r="I10" s="7">
        <f t="shared" si="0"/>
        <v>940</v>
      </c>
      <c r="J10" s="8">
        <f t="shared" si="1"/>
        <v>0.1337042916232839</v>
      </c>
    </row>
    <row r="11" spans="1:10" ht="15">
      <c r="A11" s="43"/>
      <c r="B11" s="4" t="s">
        <v>16</v>
      </c>
      <c r="C11" s="7"/>
      <c r="D11" s="13">
        <v>11597</v>
      </c>
      <c r="E11" s="13">
        <v>11672</v>
      </c>
      <c r="F11" s="8">
        <f>(E11-D11)*10</f>
        <v>750</v>
      </c>
      <c r="G11" s="7">
        <v>0</v>
      </c>
      <c r="H11" s="7">
        <v>0</v>
      </c>
      <c r="I11" s="7">
        <f t="shared" si="0"/>
        <v>750</v>
      </c>
      <c r="J11" s="8">
        <f t="shared" si="1"/>
        <v>0.10667895608240736</v>
      </c>
    </row>
    <row r="12" spans="1:10" ht="15">
      <c r="A12" s="43"/>
      <c r="B12" s="4" t="s">
        <v>17</v>
      </c>
      <c r="C12" s="7"/>
      <c r="D12" s="13">
        <v>5327</v>
      </c>
      <c r="E12" s="13">
        <v>5371</v>
      </c>
      <c r="F12" s="8">
        <f>(E12-D12)*4</f>
        <v>176</v>
      </c>
      <c r="G12" s="7">
        <v>0</v>
      </c>
      <c r="H12" s="7">
        <v>0</v>
      </c>
      <c r="I12" s="7">
        <f t="shared" si="0"/>
        <v>176</v>
      </c>
      <c r="J12" s="8">
        <f t="shared" si="1"/>
        <v>0.025033995027338263</v>
      </c>
    </row>
    <row r="13" spans="1:10" ht="15">
      <c r="A13" s="43"/>
      <c r="B13" s="4" t="s">
        <v>19</v>
      </c>
      <c r="C13" s="7"/>
      <c r="D13" s="13">
        <v>106029</v>
      </c>
      <c r="E13" s="13">
        <v>107010</v>
      </c>
      <c r="F13" s="8">
        <f>(E13-D13)*1</f>
        <v>981</v>
      </c>
      <c r="G13" s="7">
        <v>0</v>
      </c>
      <c r="H13" s="7">
        <v>0</v>
      </c>
      <c r="I13" s="7">
        <f t="shared" si="0"/>
        <v>981</v>
      </c>
      <c r="J13" s="8">
        <f t="shared" si="1"/>
        <v>0.13953607455578884</v>
      </c>
    </row>
    <row r="14" spans="1:10" ht="15">
      <c r="A14" s="14"/>
      <c r="B14" s="4" t="s">
        <v>18</v>
      </c>
      <c r="C14" s="15"/>
      <c r="D14" s="13">
        <v>132928</v>
      </c>
      <c r="E14" s="16">
        <v>134180</v>
      </c>
      <c r="F14" s="8">
        <f>(E14-D14)*1</f>
        <v>1252</v>
      </c>
      <c r="G14" s="7">
        <v>0</v>
      </c>
      <c r="H14" s="15">
        <v>0</v>
      </c>
      <c r="I14" s="7">
        <f t="shared" si="0"/>
        <v>1252</v>
      </c>
      <c r="J14" s="8">
        <f t="shared" si="1"/>
        <v>0.17808273735356536</v>
      </c>
    </row>
    <row r="15" spans="1:10" ht="15">
      <c r="A15" s="17"/>
      <c r="B15" s="17" t="s">
        <v>14</v>
      </c>
      <c r="C15" s="17"/>
      <c r="D15" s="9"/>
      <c r="E15" s="17"/>
      <c r="F15" s="18">
        <f>SUM(F10:F14)</f>
        <v>4099</v>
      </c>
      <c r="G15" s="18">
        <f>SUM(G10:G14)</f>
        <v>0</v>
      </c>
      <c r="H15" s="18">
        <f>SUM(H10:H14)</f>
        <v>0</v>
      </c>
      <c r="I15" s="18">
        <f>SUM(I10:I14)</f>
        <v>4099</v>
      </c>
      <c r="J15" s="8">
        <f t="shared" si="1"/>
        <v>0.5830360546423837</v>
      </c>
    </row>
    <row r="16" spans="1:12" ht="15">
      <c r="A16" s="19"/>
      <c r="B16" s="19"/>
      <c r="C16" s="19"/>
      <c r="D16" s="20"/>
      <c r="E16" s="22" t="s">
        <v>20</v>
      </c>
      <c r="F16" s="21">
        <f>F10+F12+F13</f>
        <v>2097</v>
      </c>
      <c r="G16" s="21">
        <f>G10+G12+G13</f>
        <v>0</v>
      </c>
      <c r="H16" s="21">
        <f>H10+H12+H13</f>
        <v>0</v>
      </c>
      <c r="I16" s="21">
        <f>I10+I12+I13</f>
        <v>2097</v>
      </c>
      <c r="J16" s="8">
        <f t="shared" si="1"/>
        <v>0.298274361206411</v>
      </c>
      <c r="K16" s="24"/>
      <c r="L16" s="10"/>
    </row>
    <row r="17" spans="1:12" ht="15">
      <c r="A17" s="19"/>
      <c r="B17" s="19"/>
      <c r="C17" s="19"/>
      <c r="D17" s="20"/>
      <c r="E17" s="22" t="s">
        <v>21</v>
      </c>
      <c r="F17" s="21">
        <f>F11+F14</f>
        <v>2002</v>
      </c>
      <c r="G17" s="21">
        <f>G11+G14</f>
        <v>0</v>
      </c>
      <c r="H17" s="21">
        <f>H11+H14</f>
        <v>0</v>
      </c>
      <c r="I17" s="21">
        <f>I11+I14</f>
        <v>2002</v>
      </c>
      <c r="J17" s="8">
        <f t="shared" si="1"/>
        <v>0.28476169343597274</v>
      </c>
      <c r="K17" s="24"/>
      <c r="L17" s="10"/>
    </row>
    <row r="18" spans="1:10" ht="15">
      <c r="A18" s="19"/>
      <c r="B18" s="19"/>
      <c r="C18" s="19"/>
      <c r="D18" s="20"/>
      <c r="E18" s="19"/>
      <c r="F18" s="21"/>
      <c r="G18" s="21"/>
      <c r="H18" s="21"/>
      <c r="I18" s="21"/>
      <c r="J18" s="21"/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0:A1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5" sqref="J15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1" t="s">
        <v>27</v>
      </c>
    </row>
    <row r="4" spans="1:10" ht="15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77.25" customHeight="1">
      <c r="A5" s="38" t="s">
        <v>0</v>
      </c>
      <c r="B5" s="40" t="s">
        <v>1</v>
      </c>
      <c r="C5" s="38" t="s">
        <v>2</v>
      </c>
      <c r="D5" s="47" t="s">
        <v>7</v>
      </c>
      <c r="E5" s="48"/>
      <c r="F5" s="38" t="s">
        <v>11</v>
      </c>
      <c r="G5" s="38" t="s">
        <v>3</v>
      </c>
      <c r="H5" s="38" t="s">
        <v>4</v>
      </c>
      <c r="I5" s="38" t="s">
        <v>5</v>
      </c>
      <c r="J5" s="40" t="s">
        <v>6</v>
      </c>
    </row>
    <row r="6" spans="1:10" ht="15.75">
      <c r="A6" s="39"/>
      <c r="B6" s="41"/>
      <c r="C6" s="39"/>
      <c r="D6" s="12" t="s">
        <v>12</v>
      </c>
      <c r="E6" s="5" t="s">
        <v>13</v>
      </c>
      <c r="F6" s="39"/>
      <c r="G6" s="39"/>
      <c r="H6" s="39"/>
      <c r="I6" s="39"/>
      <c r="J6" s="41"/>
    </row>
    <row r="7" spans="1:12" ht="15">
      <c r="A7" s="3">
        <v>1</v>
      </c>
      <c r="B7" s="4" t="s">
        <v>9</v>
      </c>
      <c r="C7" s="8"/>
      <c r="D7" s="6"/>
      <c r="E7" s="6"/>
      <c r="F7" s="7">
        <v>973.86</v>
      </c>
      <c r="G7" s="7">
        <f>449.12+107.874+23.46</f>
        <v>580.4540000000001</v>
      </c>
      <c r="H7" s="7">
        <v>0</v>
      </c>
      <c r="I7" s="7">
        <f aca="true" t="shared" si="0" ref="I7:I14">F7-G7-H7</f>
        <v>393.40599999999995</v>
      </c>
      <c r="J7" s="8">
        <f aca="true" t="shared" si="1" ref="J7:J17">I7/7030.44</f>
        <v>0.05595752186207406</v>
      </c>
      <c r="L7" s="10"/>
    </row>
    <row r="8" spans="1:12" ht="15">
      <c r="A8" s="3">
        <v>2</v>
      </c>
      <c r="B8" s="4" t="s">
        <v>26</v>
      </c>
      <c r="C8" s="7" t="s">
        <v>28</v>
      </c>
      <c r="D8" s="6"/>
      <c r="E8" s="6"/>
      <c r="F8" s="7">
        <v>822</v>
      </c>
      <c r="G8" s="7">
        <f>538.35+234.141+25.921</f>
        <v>798.412</v>
      </c>
      <c r="H8" s="7">
        <v>0</v>
      </c>
      <c r="I8" s="7">
        <f t="shared" si="0"/>
        <v>23.587999999999965</v>
      </c>
      <c r="J8" s="8">
        <f t="shared" si="1"/>
        <v>0.003355124288095762</v>
      </c>
      <c r="L8" s="10"/>
    </row>
    <row r="9" spans="1:12" ht="15">
      <c r="A9" s="3">
        <v>3</v>
      </c>
      <c r="B9" s="4" t="s">
        <v>10</v>
      </c>
      <c r="C9" s="7"/>
      <c r="D9" s="6"/>
      <c r="E9" s="6"/>
      <c r="F9" s="7">
        <f>F7+F8</f>
        <v>1795.8600000000001</v>
      </c>
      <c r="G9" s="7">
        <f>956.88+363.997+36.829+20.04+1.12</f>
        <v>1378.8659999999998</v>
      </c>
      <c r="H9" s="7">
        <f>H7+H8</f>
        <v>0</v>
      </c>
      <c r="I9" s="7">
        <f t="shared" si="0"/>
        <v>416.99400000000037</v>
      </c>
      <c r="J9" s="8">
        <f t="shared" si="1"/>
        <v>0.05931264615016989</v>
      </c>
      <c r="L9" s="10"/>
    </row>
    <row r="10" spans="1:10" ht="15">
      <c r="A10" s="42">
        <v>4</v>
      </c>
      <c r="B10" s="4" t="s">
        <v>15</v>
      </c>
      <c r="C10" s="7"/>
      <c r="D10" s="6">
        <v>12455</v>
      </c>
      <c r="E10" s="6">
        <v>12521</v>
      </c>
      <c r="F10" s="8">
        <f>(E10-D10)*10</f>
        <v>660</v>
      </c>
      <c r="G10" s="7">
        <v>0</v>
      </c>
      <c r="H10" s="7">
        <v>0</v>
      </c>
      <c r="I10" s="7">
        <f t="shared" si="0"/>
        <v>660</v>
      </c>
      <c r="J10" s="8">
        <f t="shared" si="1"/>
        <v>0.09387748135251849</v>
      </c>
    </row>
    <row r="11" spans="1:10" ht="15">
      <c r="A11" s="43"/>
      <c r="B11" s="4" t="s">
        <v>16</v>
      </c>
      <c r="C11" s="7"/>
      <c r="D11" s="13">
        <v>11672</v>
      </c>
      <c r="E11" s="13">
        <v>11731</v>
      </c>
      <c r="F11" s="8">
        <f>(E11-D11)*10</f>
        <v>590</v>
      </c>
      <c r="G11" s="7">
        <v>0</v>
      </c>
      <c r="H11" s="7">
        <v>0</v>
      </c>
      <c r="I11" s="7">
        <f t="shared" si="0"/>
        <v>590</v>
      </c>
      <c r="J11" s="8">
        <f t="shared" si="1"/>
        <v>0.08392077878482712</v>
      </c>
    </row>
    <row r="12" spans="1:10" ht="15">
      <c r="A12" s="43"/>
      <c r="B12" s="4" t="s">
        <v>17</v>
      </c>
      <c r="C12" s="7"/>
      <c r="D12" s="13">
        <v>5371</v>
      </c>
      <c r="E12" s="13">
        <v>5405</v>
      </c>
      <c r="F12" s="8">
        <f>(E12-D12)*4</f>
        <v>136</v>
      </c>
      <c r="G12" s="7">
        <v>0</v>
      </c>
      <c r="H12" s="7">
        <v>0</v>
      </c>
      <c r="I12" s="7">
        <f t="shared" si="0"/>
        <v>136</v>
      </c>
      <c r="J12" s="8">
        <f t="shared" si="1"/>
        <v>0.019344450702943203</v>
      </c>
    </row>
    <row r="13" spans="1:10" ht="15">
      <c r="A13" s="43"/>
      <c r="B13" s="4" t="s">
        <v>19</v>
      </c>
      <c r="C13" s="7"/>
      <c r="D13" s="13">
        <v>107010</v>
      </c>
      <c r="E13" s="13">
        <v>107630</v>
      </c>
      <c r="F13" s="8">
        <f>(E13-D13)*1</f>
        <v>620</v>
      </c>
      <c r="G13" s="7">
        <v>0</v>
      </c>
      <c r="H13" s="7">
        <v>0</v>
      </c>
      <c r="I13" s="7">
        <f t="shared" si="0"/>
        <v>620</v>
      </c>
      <c r="J13" s="8">
        <f t="shared" si="1"/>
        <v>0.08818793702812343</v>
      </c>
    </row>
    <row r="14" spans="1:10" ht="15">
      <c r="A14" s="14"/>
      <c r="B14" s="4" t="s">
        <v>18</v>
      </c>
      <c r="C14" s="15"/>
      <c r="D14" s="13">
        <v>134180</v>
      </c>
      <c r="E14" s="16">
        <v>135110</v>
      </c>
      <c r="F14" s="8">
        <f>(E14-D14)*1</f>
        <v>930</v>
      </c>
      <c r="G14" s="7">
        <v>0</v>
      </c>
      <c r="H14" s="15">
        <v>0</v>
      </c>
      <c r="I14" s="7">
        <f t="shared" si="0"/>
        <v>930</v>
      </c>
      <c r="J14" s="8">
        <f t="shared" si="1"/>
        <v>0.13228190554218514</v>
      </c>
    </row>
    <row r="15" spans="1:10" ht="15">
      <c r="A15" s="17"/>
      <c r="B15" s="17" t="s">
        <v>14</v>
      </c>
      <c r="C15" s="17"/>
      <c r="D15" s="9"/>
      <c r="E15" s="17"/>
      <c r="F15" s="18">
        <f>SUM(F10:F14)</f>
        <v>2936</v>
      </c>
      <c r="G15" s="18">
        <f>SUM(G10:G14)</f>
        <v>0</v>
      </c>
      <c r="H15" s="18">
        <f>SUM(H10:H14)</f>
        <v>0</v>
      </c>
      <c r="I15" s="18">
        <f>SUM(I10:I14)</f>
        <v>2936</v>
      </c>
      <c r="J15" s="8">
        <f t="shared" si="1"/>
        <v>0.4176125534105974</v>
      </c>
    </row>
    <row r="16" spans="1:12" ht="15">
      <c r="A16" s="19"/>
      <c r="B16" s="19"/>
      <c r="C16" s="19"/>
      <c r="D16" s="20"/>
      <c r="E16" s="22" t="s">
        <v>20</v>
      </c>
      <c r="F16" s="21">
        <f>F10+F12+F13</f>
        <v>1416</v>
      </c>
      <c r="G16" s="21">
        <f>G10+G12+G13</f>
        <v>0</v>
      </c>
      <c r="H16" s="21">
        <f>H10+H12+H13</f>
        <v>0</v>
      </c>
      <c r="I16" s="21">
        <f>I10+I12+I13</f>
        <v>1416</v>
      </c>
      <c r="J16" s="8">
        <f t="shared" si="1"/>
        <v>0.2014098690835851</v>
      </c>
      <c r="K16" s="24"/>
      <c r="L16" s="10"/>
    </row>
    <row r="17" spans="1:12" ht="15">
      <c r="A17" s="19"/>
      <c r="B17" s="19"/>
      <c r="C17" s="19"/>
      <c r="D17" s="20"/>
      <c r="E17" s="22" t="s">
        <v>21</v>
      </c>
      <c r="F17" s="21">
        <f>F11+F14</f>
        <v>1520</v>
      </c>
      <c r="G17" s="21">
        <f>G11+G14</f>
        <v>0</v>
      </c>
      <c r="H17" s="21">
        <f>H11+H14</f>
        <v>0</v>
      </c>
      <c r="I17" s="21">
        <f>I11+I14</f>
        <v>1520</v>
      </c>
      <c r="J17" s="8">
        <f t="shared" si="1"/>
        <v>0.21620268432701226</v>
      </c>
      <c r="K17" s="24"/>
      <c r="L17" s="10"/>
    </row>
    <row r="18" spans="1:10" ht="15">
      <c r="A18" s="19"/>
      <c r="B18" s="19"/>
      <c r="C18" s="19"/>
      <c r="D18" s="20"/>
      <c r="E18" s="19"/>
      <c r="F18" s="21"/>
      <c r="G18" s="21"/>
      <c r="H18" s="21"/>
      <c r="I18" s="21"/>
      <c r="J18" s="21"/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10:A13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11" t="s">
        <v>29</v>
      </c>
    </row>
    <row r="4" spans="1:10" ht="15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77.25" customHeight="1">
      <c r="A5" s="38" t="s">
        <v>0</v>
      </c>
      <c r="B5" s="40" t="s">
        <v>1</v>
      </c>
      <c r="C5" s="38" t="s">
        <v>2</v>
      </c>
      <c r="D5" s="47" t="s">
        <v>7</v>
      </c>
      <c r="E5" s="48"/>
      <c r="F5" s="38" t="s">
        <v>11</v>
      </c>
      <c r="G5" s="38" t="s">
        <v>3</v>
      </c>
      <c r="H5" s="38" t="s">
        <v>4</v>
      </c>
      <c r="I5" s="38" t="s">
        <v>5</v>
      </c>
      <c r="J5" s="40" t="s">
        <v>6</v>
      </c>
    </row>
    <row r="6" spans="1:10" ht="15.75">
      <c r="A6" s="39"/>
      <c r="B6" s="41"/>
      <c r="C6" s="39"/>
      <c r="D6" s="12" t="s">
        <v>12</v>
      </c>
      <c r="E6" s="5" t="s">
        <v>13</v>
      </c>
      <c r="F6" s="39"/>
      <c r="G6" s="39"/>
      <c r="H6" s="39"/>
      <c r="I6" s="39"/>
      <c r="J6" s="41"/>
    </row>
    <row r="7" spans="1:12" ht="15.75">
      <c r="A7" s="26">
        <v>1</v>
      </c>
      <c r="B7" s="27" t="s">
        <v>30</v>
      </c>
      <c r="C7" s="25"/>
      <c r="D7" s="12"/>
      <c r="E7" s="5"/>
      <c r="F7" s="26">
        <f>48.36</f>
        <v>48.36</v>
      </c>
      <c r="G7" s="28">
        <f>688.85*0.1917/4.01</f>
        <v>32.93080922693267</v>
      </c>
      <c r="H7" s="26">
        <v>0</v>
      </c>
      <c r="I7" s="7">
        <f aca="true" t="shared" si="0" ref="I7:I15">F7-G7-H7</f>
        <v>15.429190773067326</v>
      </c>
      <c r="J7" s="8">
        <f aca="true" t="shared" si="1" ref="J7:J18">I7/7030.44</f>
        <v>0.0021946266198228457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665.32</f>
        <v>665.32</v>
      </c>
      <c r="G8" s="7">
        <f>465.16+208.24+15.448</f>
        <v>688.8480000000001</v>
      </c>
      <c r="H8" s="7">
        <v>0</v>
      </c>
      <c r="I8" s="7">
        <f t="shared" si="0"/>
        <v>-23.52800000000002</v>
      </c>
      <c r="J8" s="8">
        <f t="shared" si="1"/>
        <v>-0.003346589971609177</v>
      </c>
      <c r="L8" s="10"/>
    </row>
    <row r="9" spans="1:12" ht="15">
      <c r="A9" s="3">
        <v>3</v>
      </c>
      <c r="B9" s="4" t="s">
        <v>26</v>
      </c>
      <c r="C9" s="7" t="s">
        <v>31</v>
      </c>
      <c r="D9" s="6"/>
      <c r="E9" s="6"/>
      <c r="F9" s="7">
        <v>853</v>
      </c>
      <c r="G9" s="7">
        <f>543.2+321.59+16.101</f>
        <v>880.891</v>
      </c>
      <c r="H9" s="7">
        <v>0</v>
      </c>
      <c r="I9" s="7">
        <f t="shared" si="0"/>
        <v>-27.890999999999963</v>
      </c>
      <c r="J9" s="8">
        <f t="shared" si="1"/>
        <v>-0.00396717701879256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1518.3200000000002</v>
      </c>
      <c r="G10" s="7">
        <f>965.74+498.21+27.449+55.47+22.87</f>
        <v>1569.739</v>
      </c>
      <c r="H10" s="7">
        <f>H8+H9</f>
        <v>0</v>
      </c>
      <c r="I10" s="7">
        <f t="shared" si="0"/>
        <v>-51.41899999999987</v>
      </c>
      <c r="J10" s="8">
        <f t="shared" si="1"/>
        <v>-0.007313766990401721</v>
      </c>
    </row>
    <row r="11" spans="1:10" ht="15">
      <c r="A11" s="42">
        <v>5</v>
      </c>
      <c r="B11" s="4" t="s">
        <v>15</v>
      </c>
      <c r="C11" s="7"/>
      <c r="D11" s="6">
        <v>12521</v>
      </c>
      <c r="E11" s="6">
        <v>12623</v>
      </c>
      <c r="F11" s="8">
        <f>(E11-D11)*10</f>
        <v>1020</v>
      </c>
      <c r="G11" s="7">
        <v>0</v>
      </c>
      <c r="H11" s="7">
        <v>0</v>
      </c>
      <c r="I11" s="7">
        <f t="shared" si="0"/>
        <v>1020</v>
      </c>
      <c r="J11" s="8">
        <f t="shared" si="1"/>
        <v>0.14508338027207401</v>
      </c>
    </row>
    <row r="12" spans="1:10" ht="15">
      <c r="A12" s="43"/>
      <c r="B12" s="4" t="s">
        <v>16</v>
      </c>
      <c r="C12" s="7"/>
      <c r="D12" s="13">
        <v>11731</v>
      </c>
      <c r="E12" s="13">
        <v>11818</v>
      </c>
      <c r="F12" s="8">
        <f>(E12-D12)*10</f>
        <v>870</v>
      </c>
      <c r="G12" s="7">
        <v>0</v>
      </c>
      <c r="H12" s="7">
        <v>0</v>
      </c>
      <c r="I12" s="7">
        <f t="shared" si="0"/>
        <v>870</v>
      </c>
      <c r="J12" s="8">
        <f t="shared" si="1"/>
        <v>0.12374758905559255</v>
      </c>
    </row>
    <row r="13" spans="1:10" ht="15">
      <c r="A13" s="43"/>
      <c r="B13" s="4" t="s">
        <v>17</v>
      </c>
      <c r="C13" s="7"/>
      <c r="D13" s="13">
        <v>5405</v>
      </c>
      <c r="E13" s="13">
        <v>5452</v>
      </c>
      <c r="F13" s="8">
        <f>(E13-D13)*4</f>
        <v>188</v>
      </c>
      <c r="G13" s="7">
        <v>0</v>
      </c>
      <c r="H13" s="7">
        <v>0</v>
      </c>
      <c r="I13" s="7">
        <f t="shared" si="0"/>
        <v>188</v>
      </c>
      <c r="J13" s="8">
        <f t="shared" si="1"/>
        <v>0.02674085832465678</v>
      </c>
    </row>
    <row r="14" spans="1:10" ht="15">
      <c r="A14" s="43"/>
      <c r="B14" s="4" t="s">
        <v>19</v>
      </c>
      <c r="C14" s="7"/>
      <c r="D14" s="13">
        <v>107630</v>
      </c>
      <c r="E14" s="13">
        <v>108300</v>
      </c>
      <c r="F14" s="8">
        <f>(E14-D14)*1</f>
        <v>670</v>
      </c>
      <c r="G14" s="7">
        <v>0</v>
      </c>
      <c r="H14" s="7">
        <v>0</v>
      </c>
      <c r="I14" s="7">
        <f t="shared" si="0"/>
        <v>670</v>
      </c>
      <c r="J14" s="8">
        <f t="shared" si="1"/>
        <v>0.09529986743361725</v>
      </c>
    </row>
    <row r="15" spans="1:10" ht="15">
      <c r="A15" s="49"/>
      <c r="B15" s="4" t="s">
        <v>18</v>
      </c>
      <c r="C15" s="15"/>
      <c r="D15" s="13">
        <v>135110</v>
      </c>
      <c r="E15" s="16">
        <v>136090</v>
      </c>
      <c r="F15" s="8">
        <f>(E15-D15)*1</f>
        <v>980</v>
      </c>
      <c r="G15" s="7">
        <v>0</v>
      </c>
      <c r="H15" s="15">
        <v>0</v>
      </c>
      <c r="I15" s="7">
        <f t="shared" si="0"/>
        <v>980</v>
      </c>
      <c r="J15" s="8">
        <f t="shared" si="1"/>
        <v>0.13939383594767896</v>
      </c>
    </row>
    <row r="16" spans="1:12" ht="15">
      <c r="A16" s="17"/>
      <c r="B16" s="17" t="s">
        <v>14</v>
      </c>
      <c r="C16" s="17"/>
      <c r="D16" s="9"/>
      <c r="E16" s="17"/>
      <c r="F16" s="18">
        <f>SUM(F11:F15)</f>
        <v>3728</v>
      </c>
      <c r="G16" s="18">
        <f>SUM(G11:G15)</f>
        <v>0</v>
      </c>
      <c r="H16" s="18">
        <f>SUM(H11:H15)</f>
        <v>0</v>
      </c>
      <c r="I16" s="18">
        <f>SUM(I11:I15)</f>
        <v>3728</v>
      </c>
      <c r="J16" s="8">
        <f t="shared" si="1"/>
        <v>0.5302655310336195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1878</v>
      </c>
      <c r="G17" s="21">
        <f>G11+G13+G14</f>
        <v>0</v>
      </c>
      <c r="H17" s="21">
        <f>H11+H13+H14</f>
        <v>0</v>
      </c>
      <c r="I17" s="21">
        <f>I11+I13+I14</f>
        <v>1878</v>
      </c>
      <c r="J17" s="8">
        <f t="shared" si="1"/>
        <v>0.26712410603034803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1850</v>
      </c>
      <c r="G18" s="21">
        <f>G12+G15</f>
        <v>0</v>
      </c>
      <c r="H18" s="21">
        <f>H12+H15</f>
        <v>0</v>
      </c>
      <c r="I18" s="21">
        <f>I12+I15</f>
        <v>1850</v>
      </c>
      <c r="J18" s="8">
        <f t="shared" si="1"/>
        <v>0.2631414250032715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5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32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3">
        <v>30.22</v>
      </c>
      <c r="G7" s="35">
        <f>625.36*0.0478</f>
        <v>29.892208000000004</v>
      </c>
      <c r="H7" s="35">
        <v>0</v>
      </c>
      <c r="I7" s="7">
        <f aca="true" t="shared" si="0" ref="I7:I15">F7-G7-H7</f>
        <v>0.3277919999999952</v>
      </c>
      <c r="J7" s="8">
        <f aca="true" t="shared" si="1" ref="J7:J18">I7/7030.44</f>
        <v>4.6624677829551954E-05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562.03</f>
        <v>562.03</v>
      </c>
      <c r="G8" s="7">
        <f>419.847+151.01+54.5</f>
        <v>625.357</v>
      </c>
      <c r="H8" s="7">
        <v>0</v>
      </c>
      <c r="I8" s="7">
        <f t="shared" si="0"/>
        <v>-63.327</v>
      </c>
      <c r="J8" s="8">
        <f t="shared" si="1"/>
        <v>-0.009007544335774147</v>
      </c>
      <c r="L8" s="10"/>
    </row>
    <row r="9" spans="1:12" ht="15">
      <c r="A9" s="3">
        <v>3</v>
      </c>
      <c r="B9" s="4" t="s">
        <v>26</v>
      </c>
      <c r="C9" s="7" t="s">
        <v>33</v>
      </c>
      <c r="D9" s="6"/>
      <c r="E9" s="6"/>
      <c r="F9" s="7">
        <v>765</v>
      </c>
      <c r="G9" s="7">
        <f>494.7+187.62+13.71</f>
        <v>696.03</v>
      </c>
      <c r="H9" s="7">
        <v>0</v>
      </c>
      <c r="I9" s="7">
        <f t="shared" si="0"/>
        <v>68.97000000000003</v>
      </c>
      <c r="J9" s="8">
        <f t="shared" si="1"/>
        <v>0.009810196801338185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1327.03</v>
      </c>
      <c r="G10" s="7">
        <f>877.14+370.39+19.69+29.007+25.16</f>
        <v>1321.3870000000002</v>
      </c>
      <c r="H10" s="7">
        <f>H8+H9</f>
        <v>0</v>
      </c>
      <c r="I10" s="7">
        <f t="shared" si="0"/>
        <v>5.642999999999802</v>
      </c>
      <c r="J10" s="8">
        <f t="shared" si="1"/>
        <v>0.0008026524655640048</v>
      </c>
    </row>
    <row r="11" spans="1:10" ht="15">
      <c r="A11" s="42">
        <v>5</v>
      </c>
      <c r="B11" s="4" t="s">
        <v>15</v>
      </c>
      <c r="C11" s="7"/>
      <c r="D11" s="6">
        <v>12623</v>
      </c>
      <c r="E11" s="6">
        <v>12708</v>
      </c>
      <c r="F11" s="8">
        <f>(E11-D11)*10</f>
        <v>850</v>
      </c>
      <c r="G11" s="7">
        <v>0</v>
      </c>
      <c r="H11" s="7">
        <v>0</v>
      </c>
      <c r="I11" s="7">
        <f t="shared" si="0"/>
        <v>850</v>
      </c>
      <c r="J11" s="8">
        <f t="shared" si="1"/>
        <v>0.12090281689339502</v>
      </c>
    </row>
    <row r="12" spans="1:10" ht="15">
      <c r="A12" s="57"/>
      <c r="B12" s="4" t="s">
        <v>16</v>
      </c>
      <c r="C12" s="7"/>
      <c r="D12" s="13">
        <v>11818</v>
      </c>
      <c r="E12" s="13">
        <v>11914</v>
      </c>
      <c r="F12" s="8">
        <f>(E12-D12)*10</f>
        <v>960</v>
      </c>
      <c r="G12" s="7">
        <v>0</v>
      </c>
      <c r="H12" s="7">
        <v>0</v>
      </c>
      <c r="I12" s="7">
        <f t="shared" si="0"/>
        <v>960</v>
      </c>
      <c r="J12" s="8">
        <f t="shared" si="1"/>
        <v>0.13654906378548143</v>
      </c>
    </row>
    <row r="13" spans="1:10" ht="15">
      <c r="A13" s="57"/>
      <c r="B13" s="4" t="s">
        <v>17</v>
      </c>
      <c r="C13" s="7"/>
      <c r="D13" s="13">
        <v>5452</v>
      </c>
      <c r="E13" s="13">
        <v>5496</v>
      </c>
      <c r="F13" s="8">
        <f>(E13-D13)*4</f>
        <v>176</v>
      </c>
      <c r="G13" s="7">
        <v>0</v>
      </c>
      <c r="H13" s="7">
        <v>0</v>
      </c>
      <c r="I13" s="7">
        <f t="shared" si="0"/>
        <v>176</v>
      </c>
      <c r="J13" s="8">
        <f t="shared" si="1"/>
        <v>0.025033995027338263</v>
      </c>
    </row>
    <row r="14" spans="1:10" ht="15">
      <c r="A14" s="57"/>
      <c r="B14" s="4" t="s">
        <v>19</v>
      </c>
      <c r="C14" s="7"/>
      <c r="D14" s="13">
        <v>108300</v>
      </c>
      <c r="E14" s="13">
        <v>108543</v>
      </c>
      <c r="F14" s="8">
        <f>(E14-D14)*1</f>
        <v>243</v>
      </c>
      <c r="G14" s="7">
        <v>0</v>
      </c>
      <c r="H14" s="7">
        <v>0</v>
      </c>
      <c r="I14" s="7">
        <f t="shared" si="0"/>
        <v>243</v>
      </c>
      <c r="J14" s="8">
        <f t="shared" si="1"/>
        <v>0.034563981770699984</v>
      </c>
    </row>
    <row r="15" spans="1:10" ht="15">
      <c r="A15" s="58"/>
      <c r="B15" s="4" t="s">
        <v>18</v>
      </c>
      <c r="C15" s="7"/>
      <c r="D15" s="13">
        <v>136090</v>
      </c>
      <c r="E15" s="13">
        <v>136670</v>
      </c>
      <c r="F15" s="8">
        <f>(E15-D15)*1</f>
        <v>580</v>
      </c>
      <c r="G15" s="7">
        <v>0</v>
      </c>
      <c r="H15" s="7">
        <v>0</v>
      </c>
      <c r="I15" s="7">
        <f t="shared" si="0"/>
        <v>580</v>
      </c>
      <c r="J15" s="8">
        <f t="shared" si="1"/>
        <v>0.08249839270372836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2809</v>
      </c>
      <c r="G16" s="37">
        <f>SUM(G11:G15)</f>
        <v>0</v>
      </c>
      <c r="H16" s="37">
        <f>SUM(H11:H15)</f>
        <v>0</v>
      </c>
      <c r="I16" s="37">
        <f>SUM(I11:I15)</f>
        <v>2809</v>
      </c>
      <c r="J16" s="8">
        <f t="shared" si="1"/>
        <v>0.39954825018064305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1269</v>
      </c>
      <c r="G17" s="21">
        <f>G11+G13+G14</f>
        <v>0</v>
      </c>
      <c r="H17" s="21">
        <f>H11+H13+H14</f>
        <v>0</v>
      </c>
      <c r="I17" s="21">
        <f>I11+I13+I14</f>
        <v>1269</v>
      </c>
      <c r="J17" s="8">
        <f t="shared" si="1"/>
        <v>0.18050079369143326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1540</v>
      </c>
      <c r="G18" s="21">
        <f>G12+G15</f>
        <v>0</v>
      </c>
      <c r="H18" s="21">
        <f>H12+H15</f>
        <v>0</v>
      </c>
      <c r="I18" s="21">
        <f>I12+I15</f>
        <v>1540</v>
      </c>
      <c r="J18" s="8">
        <f t="shared" si="1"/>
        <v>0.21904745648920979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34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3">
        <f>41.54</f>
        <v>41.54</v>
      </c>
      <c r="G7" s="35">
        <f>G8*0.0478</f>
        <v>32.20859600000001</v>
      </c>
      <c r="H7" s="35">
        <v>0</v>
      </c>
      <c r="I7" s="7">
        <f>21.56*0.0478</f>
        <v>1.030568</v>
      </c>
      <c r="J7" s="8">
        <f aca="true" t="shared" si="0" ref="J7:J18">I7/7030.44</f>
        <v>0.00014658655788257917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871.69</f>
        <v>871.69</v>
      </c>
      <c r="G8" s="7">
        <f>413.03+173.96+86.83</f>
        <v>673.82</v>
      </c>
      <c r="H8" s="7">
        <v>0</v>
      </c>
      <c r="I8" s="7">
        <v>21.5579</v>
      </c>
      <c r="J8" s="8">
        <f t="shared" si="0"/>
        <v>0.0030663656897719064</v>
      </c>
      <c r="L8" s="10"/>
    </row>
    <row r="9" spans="1:12" ht="15">
      <c r="A9" s="3">
        <v>3</v>
      </c>
      <c r="B9" s="4" t="s">
        <v>26</v>
      </c>
      <c r="C9" s="7" t="s">
        <v>35</v>
      </c>
      <c r="D9" s="6"/>
      <c r="E9" s="6"/>
      <c r="F9" s="7">
        <f>52655-51876</f>
        <v>779</v>
      </c>
      <c r="G9" s="7">
        <f>494.7+279.14+113.02</f>
        <v>886.8599999999999</v>
      </c>
      <c r="H9" s="7">
        <v>0</v>
      </c>
      <c r="I9" s="7">
        <f aca="true" t="shared" si="1" ref="I9:I15">F9-G9-H9</f>
        <v>-107.8599999999999</v>
      </c>
      <c r="J9" s="8">
        <f t="shared" si="0"/>
        <v>-0.015341856270731263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1650.69</v>
      </c>
      <c r="G10" s="7">
        <f>877.14+489.68+134.19+35.44+24.23</f>
        <v>1560.68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12708</v>
      </c>
      <c r="E11" s="6">
        <v>12803</v>
      </c>
      <c r="F11" s="8">
        <f>(E11-D11)*10</f>
        <v>950</v>
      </c>
      <c r="G11" s="7">
        <v>0</v>
      </c>
      <c r="H11" s="7">
        <v>0</v>
      </c>
      <c r="I11" s="7">
        <f t="shared" si="1"/>
        <v>950</v>
      </c>
      <c r="J11" s="8">
        <f t="shared" si="0"/>
        <v>0.13512667770438266</v>
      </c>
    </row>
    <row r="12" spans="1:10" ht="15">
      <c r="A12" s="57"/>
      <c r="B12" s="4" t="s">
        <v>16</v>
      </c>
      <c r="C12" s="7"/>
      <c r="D12" s="13">
        <v>11914</v>
      </c>
      <c r="E12" s="13">
        <v>12001</v>
      </c>
      <c r="F12" s="8">
        <f>(E12-D12)*10</f>
        <v>870</v>
      </c>
      <c r="G12" s="7">
        <v>0</v>
      </c>
      <c r="H12" s="7">
        <v>0</v>
      </c>
      <c r="I12" s="7">
        <f t="shared" si="1"/>
        <v>870</v>
      </c>
      <c r="J12" s="8">
        <f t="shared" si="0"/>
        <v>0.12374758905559255</v>
      </c>
    </row>
    <row r="13" spans="1:10" ht="15">
      <c r="A13" s="57"/>
      <c r="B13" s="4" t="s">
        <v>17</v>
      </c>
      <c r="C13" s="7"/>
      <c r="D13" s="13">
        <v>5496</v>
      </c>
      <c r="E13" s="13">
        <v>5538</v>
      </c>
      <c r="F13" s="8">
        <f>(E13-D13)*4</f>
        <v>168</v>
      </c>
      <c r="G13" s="7">
        <v>0</v>
      </c>
      <c r="H13" s="7">
        <v>0</v>
      </c>
      <c r="I13" s="7">
        <f t="shared" si="1"/>
        <v>168</v>
      </c>
      <c r="J13" s="8">
        <f t="shared" si="0"/>
        <v>0.02389608616245925</v>
      </c>
    </row>
    <row r="14" spans="1:10" ht="15">
      <c r="A14" s="57"/>
      <c r="B14" s="4" t="s">
        <v>19</v>
      </c>
      <c r="C14" s="7"/>
      <c r="D14" s="13">
        <v>108543</v>
      </c>
      <c r="E14" s="13">
        <v>108800</v>
      </c>
      <c r="F14" s="8">
        <f>(E14-D14)*1</f>
        <v>257</v>
      </c>
      <c r="G14" s="7">
        <v>0</v>
      </c>
      <c r="H14" s="7">
        <v>0</v>
      </c>
      <c r="I14" s="7">
        <f t="shared" si="1"/>
        <v>257</v>
      </c>
      <c r="J14" s="8">
        <f t="shared" si="0"/>
        <v>0.03655532228423826</v>
      </c>
    </row>
    <row r="15" spans="1:10" ht="15">
      <c r="A15" s="58"/>
      <c r="B15" s="4" t="s">
        <v>18</v>
      </c>
      <c r="C15" s="7"/>
      <c r="D15" s="13">
        <v>136670</v>
      </c>
      <c r="E15" s="13">
        <v>137060</v>
      </c>
      <c r="F15" s="8">
        <f>(E15-D15)*1</f>
        <v>390</v>
      </c>
      <c r="G15" s="7">
        <v>0</v>
      </c>
      <c r="H15" s="7">
        <v>0</v>
      </c>
      <c r="I15" s="7">
        <f t="shared" si="1"/>
        <v>390</v>
      </c>
      <c r="J15" s="8">
        <f t="shared" si="0"/>
        <v>0.05547305716285183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2635</v>
      </c>
      <c r="G16" s="37">
        <f>SUM(G11:G15)</f>
        <v>0</v>
      </c>
      <c r="H16" s="37">
        <f>SUM(H11:H15)</f>
        <v>0</v>
      </c>
      <c r="I16" s="37">
        <f>SUM(I11:I15)</f>
        <v>2635</v>
      </c>
      <c r="J16" s="8">
        <f t="shared" si="0"/>
        <v>0.37479873236952455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1375</v>
      </c>
      <c r="G17" s="21">
        <f>G11+G13+G14</f>
        <v>0</v>
      </c>
      <c r="H17" s="21">
        <f>H11+H13+H14</f>
        <v>0</v>
      </c>
      <c r="I17" s="21">
        <f>I11+I13+I14</f>
        <v>1375</v>
      </c>
      <c r="J17" s="8">
        <f t="shared" si="0"/>
        <v>0.19557808615108016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1260</v>
      </c>
      <c r="G18" s="21">
        <f>G12+G15</f>
        <v>0</v>
      </c>
      <c r="H18" s="21">
        <f>H12+H15</f>
        <v>0</v>
      </c>
      <c r="I18" s="21">
        <f>I12+I15</f>
        <v>1260</v>
      </c>
      <c r="J18" s="8">
        <f t="shared" si="0"/>
        <v>0.17922064621844438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H5:H6"/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36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13.4</f>
        <v>13.4</v>
      </c>
      <c r="G7" s="35">
        <f>G8*0.0478</f>
        <v>31.56234</v>
      </c>
      <c r="H7" s="35">
        <v>0</v>
      </c>
      <c r="I7" s="7">
        <f>F7-G7-H7</f>
        <v>-18.16234</v>
      </c>
      <c r="J7" s="8">
        <f aca="true" t="shared" si="0" ref="J7:J18">I7/7030.44</f>
        <v>-0.002583385961618334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396.42</f>
        <v>396.42</v>
      </c>
      <c r="G8" s="7">
        <f>429.07+230.24+0.99</f>
        <v>660.3</v>
      </c>
      <c r="H8" s="7">
        <v>0</v>
      </c>
      <c r="I8" s="7">
        <f>F8-G8-H8</f>
        <v>-263.87999999999994</v>
      </c>
      <c r="J8" s="8">
        <f t="shared" si="0"/>
        <v>-0.0375339239080342</v>
      </c>
      <c r="L8" s="10"/>
    </row>
    <row r="9" spans="1:12" ht="15">
      <c r="A9" s="3">
        <v>3</v>
      </c>
      <c r="B9" s="4" t="s">
        <v>26</v>
      </c>
      <c r="C9" s="7" t="s">
        <v>37</v>
      </c>
      <c r="D9" s="6"/>
      <c r="E9" s="6"/>
      <c r="F9" s="7">
        <f>128.5+642.5</f>
        <v>771</v>
      </c>
      <c r="G9" s="7">
        <f>514.1+319.75+0.49</f>
        <v>834.34</v>
      </c>
      <c r="H9" s="7">
        <v>0</v>
      </c>
      <c r="I9" s="7">
        <f>F9-G9-H9</f>
        <v>-63.34000000000003</v>
      </c>
      <c r="J9" s="8">
        <f t="shared" si="0"/>
        <v>-0.009009393437679581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1167.42</v>
      </c>
      <c r="G10" s="7">
        <f>912.58+518.9+1.14+35.44+26.58</f>
        <v>1494.64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12803</v>
      </c>
      <c r="E11" s="6">
        <v>12894</v>
      </c>
      <c r="F11" s="8">
        <f>(E11-D11)*10</f>
        <v>910</v>
      </c>
      <c r="G11" s="7">
        <v>0</v>
      </c>
      <c r="H11" s="7">
        <v>0</v>
      </c>
      <c r="I11" s="7">
        <f>F11-G11-H11</f>
        <v>910</v>
      </c>
      <c r="J11" s="8">
        <f t="shared" si="0"/>
        <v>0.1294371333799876</v>
      </c>
    </row>
    <row r="12" spans="1:10" ht="15">
      <c r="A12" s="57"/>
      <c r="B12" s="4" t="s">
        <v>16</v>
      </c>
      <c r="C12" s="7"/>
      <c r="D12" s="13">
        <v>12001</v>
      </c>
      <c r="E12" s="13">
        <v>12103</v>
      </c>
      <c r="F12" s="8">
        <f>(E12-D12)*10</f>
        <v>1020</v>
      </c>
      <c r="G12" s="7">
        <v>0</v>
      </c>
      <c r="H12" s="7">
        <v>0</v>
      </c>
      <c r="I12" s="7">
        <f>F12-G12-H12</f>
        <v>1020</v>
      </c>
      <c r="J12" s="8">
        <f t="shared" si="0"/>
        <v>0.14508338027207401</v>
      </c>
    </row>
    <row r="13" spans="1:10" ht="15">
      <c r="A13" s="57"/>
      <c r="B13" s="4" t="s">
        <v>17</v>
      </c>
      <c r="C13" s="7"/>
      <c r="D13" s="13">
        <v>5538</v>
      </c>
      <c r="E13" s="13">
        <v>5583</v>
      </c>
      <c r="F13" s="8">
        <f>(E13-D13)*4</f>
        <v>180</v>
      </c>
      <c r="G13" s="7">
        <v>0</v>
      </c>
      <c r="H13" s="7">
        <v>0</v>
      </c>
      <c r="I13" s="7">
        <f>F13-G13-H13</f>
        <v>180</v>
      </c>
      <c r="J13" s="8">
        <f t="shared" si="0"/>
        <v>0.025602949459777768</v>
      </c>
    </row>
    <row r="14" spans="1:10" ht="15">
      <c r="A14" s="57"/>
      <c r="B14" s="4" t="s">
        <v>19</v>
      </c>
      <c r="C14" s="7"/>
      <c r="D14" s="13">
        <v>108800</v>
      </c>
      <c r="E14" s="13">
        <v>108975</v>
      </c>
      <c r="F14" s="8">
        <f>(E14-D14)*1</f>
        <v>175</v>
      </c>
      <c r="G14" s="7">
        <v>0</v>
      </c>
      <c r="H14" s="7">
        <v>0</v>
      </c>
      <c r="I14" s="7">
        <f>F14-G14-H14</f>
        <v>175</v>
      </c>
      <c r="J14" s="8">
        <f t="shared" si="0"/>
        <v>0.024891756419228386</v>
      </c>
    </row>
    <row r="15" spans="1:10" ht="15">
      <c r="A15" s="58"/>
      <c r="B15" s="4" t="s">
        <v>18</v>
      </c>
      <c r="C15" s="7"/>
      <c r="D15" s="13">
        <v>137060</v>
      </c>
      <c r="E15" s="13">
        <v>137433</v>
      </c>
      <c r="F15" s="8">
        <f>(E15-D15)*1</f>
        <v>373</v>
      </c>
      <c r="G15" s="7">
        <v>0</v>
      </c>
      <c r="H15" s="7">
        <v>0</v>
      </c>
      <c r="I15" s="7">
        <f>F15-G15-H15</f>
        <v>373</v>
      </c>
      <c r="J15" s="8">
        <f t="shared" si="0"/>
        <v>0.05305500082498393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2658</v>
      </c>
      <c r="G16" s="37">
        <f>SUM(G11:G15)</f>
        <v>0</v>
      </c>
      <c r="H16" s="37">
        <f>SUM(H11:H15)</f>
        <v>0</v>
      </c>
      <c r="I16" s="37">
        <f>SUM(I11:I15)</f>
        <v>2658</v>
      </c>
      <c r="J16" s="8">
        <f t="shared" si="0"/>
        <v>0.3780702203560517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1265</v>
      </c>
      <c r="G17" s="21">
        <f>G11+G13+G14</f>
        <v>0</v>
      </c>
      <c r="H17" s="21">
        <f>H11+H13+H14</f>
        <v>0</v>
      </c>
      <c r="I17" s="21">
        <f>I11+I13+I14</f>
        <v>1265</v>
      </c>
      <c r="J17" s="8">
        <f t="shared" si="0"/>
        <v>0.17993183925899375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1393</v>
      </c>
      <c r="G18" s="21">
        <f>G12+G15</f>
        <v>0</v>
      </c>
      <c r="H18" s="21">
        <f>H12+H15</f>
        <v>0</v>
      </c>
      <c r="I18" s="21">
        <f>I12+I15</f>
        <v>1393</v>
      </c>
      <c r="J18" s="8">
        <f t="shared" si="0"/>
        <v>0.19813838109705795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A11:A15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6" sqref="D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38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43.23</f>
        <v>43.23</v>
      </c>
      <c r="G7" s="35">
        <f>G8*0.0478</f>
        <v>27.100319940000002</v>
      </c>
      <c r="H7" s="35">
        <v>0</v>
      </c>
      <c r="I7" s="35">
        <f>I8*0.0478</f>
        <v>1.2096937200000002</v>
      </c>
      <c r="J7" s="8">
        <f aca="true" t="shared" si="0" ref="J7:J18">I7/7030.44</f>
        <v>0.0001720651509720587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907.78</f>
        <v>907.78</v>
      </c>
      <c r="G8" s="7">
        <f>431.3423+133.08+2.53</f>
        <v>566.9523</v>
      </c>
      <c r="H8" s="7">
        <v>0</v>
      </c>
      <c r="I8" s="7">
        <v>25.3074</v>
      </c>
      <c r="J8" s="8">
        <f t="shared" si="0"/>
        <v>0.0035996893508798886</v>
      </c>
      <c r="L8" s="10"/>
    </row>
    <row r="9" spans="1:12" ht="15">
      <c r="A9" s="3">
        <v>3</v>
      </c>
      <c r="B9" s="4" t="s">
        <v>26</v>
      </c>
      <c r="C9" s="7" t="s">
        <v>39</v>
      </c>
      <c r="D9" s="6"/>
      <c r="E9" s="6"/>
      <c r="F9" s="7">
        <v>854</v>
      </c>
      <c r="G9" s="7">
        <f>516.8483+223.54+22.26</f>
        <v>762.6483</v>
      </c>
      <c r="H9" s="7">
        <v>0</v>
      </c>
      <c r="I9" s="7">
        <v>25.3074</v>
      </c>
      <c r="J9" s="8">
        <f t="shared" si="0"/>
        <v>0.0035996893508798886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1761.78</v>
      </c>
      <c r="G10" s="7">
        <f>917.6007+356.05+9.92+35.44+10.59</f>
        <v>1329.6007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12894</v>
      </c>
      <c r="E11" s="6">
        <v>12995</v>
      </c>
      <c r="F11" s="8">
        <f>(E11-D11)*10</f>
        <v>1010</v>
      </c>
      <c r="G11" s="7">
        <v>0</v>
      </c>
      <c r="H11" s="7">
        <v>0</v>
      </c>
      <c r="I11" s="7">
        <f>F11-G11-H11</f>
        <v>1010</v>
      </c>
      <c r="J11" s="8">
        <f t="shared" si="0"/>
        <v>0.14366099419097525</v>
      </c>
    </row>
    <row r="12" spans="1:10" ht="15">
      <c r="A12" s="57"/>
      <c r="B12" s="4" t="s">
        <v>16</v>
      </c>
      <c r="C12" s="7"/>
      <c r="D12" s="13">
        <v>12103</v>
      </c>
      <c r="E12" s="13">
        <v>12210</v>
      </c>
      <c r="F12" s="8">
        <f>(E12-D12)*10</f>
        <v>1070</v>
      </c>
      <c r="G12" s="7">
        <v>0</v>
      </c>
      <c r="H12" s="7">
        <v>0</v>
      </c>
      <c r="I12" s="7">
        <f>F12-G12-H12</f>
        <v>1070</v>
      </c>
      <c r="J12" s="8">
        <f t="shared" si="0"/>
        <v>0.15219531067756784</v>
      </c>
    </row>
    <row r="13" spans="1:10" ht="15">
      <c r="A13" s="57"/>
      <c r="B13" s="4" t="s">
        <v>17</v>
      </c>
      <c r="C13" s="7"/>
      <c r="D13" s="13">
        <v>5583</v>
      </c>
      <c r="E13" s="13">
        <v>5630</v>
      </c>
      <c r="F13" s="8">
        <f>(E13-D13)*4</f>
        <v>188</v>
      </c>
      <c r="G13" s="7">
        <v>0</v>
      </c>
      <c r="H13" s="7">
        <v>0</v>
      </c>
      <c r="I13" s="7">
        <f>F13-G13-H13</f>
        <v>188</v>
      </c>
      <c r="J13" s="8">
        <f t="shared" si="0"/>
        <v>0.02674085832465678</v>
      </c>
    </row>
    <row r="14" spans="1:10" ht="15">
      <c r="A14" s="57"/>
      <c r="B14" s="4" t="s">
        <v>19</v>
      </c>
      <c r="C14" s="7"/>
      <c r="D14" s="13">
        <v>108975</v>
      </c>
      <c r="E14" s="13">
        <v>109150</v>
      </c>
      <c r="F14" s="8">
        <f>(E14-D14)*1</f>
        <v>175</v>
      </c>
      <c r="G14" s="7">
        <v>0</v>
      </c>
      <c r="H14" s="7">
        <v>0</v>
      </c>
      <c r="I14" s="7">
        <f>F14-G14-H14</f>
        <v>175</v>
      </c>
      <c r="J14" s="8">
        <f t="shared" si="0"/>
        <v>0.024891756419228386</v>
      </c>
    </row>
    <row r="15" spans="1:10" ht="15">
      <c r="A15" s="58"/>
      <c r="B15" s="4" t="s">
        <v>18</v>
      </c>
      <c r="C15" s="7"/>
      <c r="D15" s="13">
        <v>137433</v>
      </c>
      <c r="E15" s="13">
        <v>137800</v>
      </c>
      <c r="F15" s="8">
        <f>(E15-D15)*1</f>
        <v>367</v>
      </c>
      <c r="G15" s="7">
        <v>0</v>
      </c>
      <c r="H15" s="7">
        <v>0</v>
      </c>
      <c r="I15" s="7">
        <f>F15-G15-H15</f>
        <v>367</v>
      </c>
      <c r="J15" s="8">
        <f t="shared" si="0"/>
        <v>0.05220156917632467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2810</v>
      </c>
      <c r="G16" s="37">
        <f>SUM(G11:G15)</f>
        <v>0</v>
      </c>
      <c r="H16" s="37">
        <f>SUM(H11:H15)</f>
        <v>0</v>
      </c>
      <c r="I16" s="37">
        <f>SUM(I11:I15)</f>
        <v>2810</v>
      </c>
      <c r="J16" s="8">
        <f t="shared" si="0"/>
        <v>0.3996904887887529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1373</v>
      </c>
      <c r="G17" s="21">
        <f>G11+G13+G14</f>
        <v>0</v>
      </c>
      <c r="H17" s="21">
        <f>H11+H13+H14</f>
        <v>0</v>
      </c>
      <c r="I17" s="21">
        <f>I11+I13+I14</f>
        <v>1373</v>
      </c>
      <c r="J17" s="8">
        <f t="shared" si="0"/>
        <v>0.19529360893486042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1437</v>
      </c>
      <c r="G18" s="21">
        <f>G12+G15</f>
        <v>0</v>
      </c>
      <c r="H18" s="21">
        <f>H12+H15</f>
        <v>0</v>
      </c>
      <c r="I18" s="21">
        <f>I12+I15</f>
        <v>1437</v>
      </c>
      <c r="J18" s="8">
        <f t="shared" si="0"/>
        <v>0.20439687985389252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8515625" style="0" customWidth="1"/>
    <col min="5" max="5" width="16.140625" style="0" customWidth="1"/>
    <col min="6" max="6" width="15.42187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421875" style="0" customWidth="1"/>
    <col min="11" max="11" width="9.57421875" style="0" bestFit="1" customWidth="1"/>
  </cols>
  <sheetData>
    <row r="3" ht="15.75">
      <c r="C3" s="29" t="s">
        <v>40</v>
      </c>
    </row>
    <row r="4" spans="1:10" ht="1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77.25" customHeight="1">
      <c r="A5" s="51" t="s">
        <v>0</v>
      </c>
      <c r="B5" s="53" t="s">
        <v>1</v>
      </c>
      <c r="C5" s="51" t="s">
        <v>2</v>
      </c>
      <c r="D5" s="55" t="s">
        <v>7</v>
      </c>
      <c r="E5" s="56"/>
      <c r="F5" s="51" t="s">
        <v>11</v>
      </c>
      <c r="G5" s="51" t="s">
        <v>3</v>
      </c>
      <c r="H5" s="51" t="s">
        <v>4</v>
      </c>
      <c r="I5" s="51" t="s">
        <v>5</v>
      </c>
      <c r="J5" s="53" t="s">
        <v>6</v>
      </c>
    </row>
    <row r="6" spans="1:10" ht="15.75">
      <c r="A6" s="52"/>
      <c r="B6" s="54"/>
      <c r="C6" s="52"/>
      <c r="D6" s="30" t="s">
        <v>12</v>
      </c>
      <c r="E6" s="32" t="s">
        <v>13</v>
      </c>
      <c r="F6" s="52"/>
      <c r="G6" s="52"/>
      <c r="H6" s="52"/>
      <c r="I6" s="52"/>
      <c r="J6" s="54"/>
    </row>
    <row r="7" spans="1:12" ht="15.75">
      <c r="A7" s="33">
        <v>1</v>
      </c>
      <c r="B7" s="34" t="s">
        <v>30</v>
      </c>
      <c r="C7" s="31"/>
      <c r="D7" s="30"/>
      <c r="E7" s="32"/>
      <c r="F7" s="35">
        <f>37.72</f>
        <v>37.72</v>
      </c>
      <c r="G7" s="35">
        <f>G8*0.0478</f>
        <v>29.179510000000004</v>
      </c>
      <c r="H7" s="35">
        <v>0</v>
      </c>
      <c r="I7" s="7">
        <f>I8*0.0478</f>
        <v>1.20967938</v>
      </c>
      <c r="J7" s="8">
        <f aca="true" t="shared" si="0" ref="J7:J18">I7/7030.44</f>
        <v>0.00017206311127041838</v>
      </c>
      <c r="L7" s="10"/>
    </row>
    <row r="8" spans="1:12" ht="15">
      <c r="A8" s="3">
        <v>2</v>
      </c>
      <c r="B8" s="4" t="s">
        <v>9</v>
      </c>
      <c r="C8" s="8"/>
      <c r="D8" s="6"/>
      <c r="E8" s="6"/>
      <c r="F8" s="7">
        <f>736.41</f>
        <v>736.41</v>
      </c>
      <c r="G8" s="7">
        <f>425.06+181.88+3.51</f>
        <v>610.45</v>
      </c>
      <c r="H8" s="7">
        <v>0</v>
      </c>
      <c r="I8" s="7">
        <v>25.3071</v>
      </c>
      <c r="J8" s="8">
        <f t="shared" si="0"/>
        <v>0.003599646679297455</v>
      </c>
      <c r="L8" s="10"/>
    </row>
    <row r="9" spans="1:12" ht="15">
      <c r="A9" s="3">
        <v>3</v>
      </c>
      <c r="B9" s="4" t="s">
        <v>26</v>
      </c>
      <c r="C9" s="7" t="s">
        <v>41</v>
      </c>
      <c r="D9" s="6"/>
      <c r="E9" s="6"/>
      <c r="F9" s="7">
        <v>805</v>
      </c>
      <c r="G9" s="7">
        <f>538.35+164.49+13.65</f>
        <v>716.49</v>
      </c>
      <c r="H9" s="7">
        <v>0</v>
      </c>
      <c r="I9" s="7">
        <v>25.3071</v>
      </c>
      <c r="J9" s="8">
        <f t="shared" si="0"/>
        <v>0.003599646679297455</v>
      </c>
      <c r="L9" s="10"/>
    </row>
    <row r="10" spans="1:10" ht="15">
      <c r="A10" s="3">
        <v>4</v>
      </c>
      <c r="B10" s="4" t="s">
        <v>10</v>
      </c>
      <c r="C10" s="7"/>
      <c r="D10" s="6"/>
      <c r="E10" s="6"/>
      <c r="F10" s="7">
        <f>F8+F9</f>
        <v>1541.4099999999999</v>
      </c>
      <c r="G10" s="7">
        <f>903.72+375.66+10.84-22.86+59.58</f>
        <v>1326.94</v>
      </c>
      <c r="H10" s="7">
        <f>H8+H9</f>
        <v>0</v>
      </c>
      <c r="I10" s="7">
        <v>0</v>
      </c>
      <c r="J10" s="8">
        <f t="shared" si="0"/>
        <v>0</v>
      </c>
    </row>
    <row r="11" spans="1:10" ht="15">
      <c r="A11" s="42">
        <v>5</v>
      </c>
      <c r="B11" s="4" t="s">
        <v>15</v>
      </c>
      <c r="C11" s="7"/>
      <c r="D11" s="6">
        <v>12995</v>
      </c>
      <c r="E11" s="6">
        <v>13088</v>
      </c>
      <c r="F11" s="8">
        <f>(E11-D11)*10</f>
        <v>930</v>
      </c>
      <c r="G11" s="7">
        <v>0</v>
      </c>
      <c r="H11" s="7">
        <v>0</v>
      </c>
      <c r="I11" s="7">
        <f>F11-G11-H11</f>
        <v>930</v>
      </c>
      <c r="J11" s="8">
        <f t="shared" si="0"/>
        <v>0.13228190554218514</v>
      </c>
    </row>
    <row r="12" spans="1:10" ht="15">
      <c r="A12" s="57"/>
      <c r="B12" s="4" t="s">
        <v>16</v>
      </c>
      <c r="C12" s="7"/>
      <c r="D12" s="13">
        <v>12210</v>
      </c>
      <c r="E12" s="13">
        <v>12288</v>
      </c>
      <c r="F12" s="8">
        <f>(E12-D12)*10</f>
        <v>780</v>
      </c>
      <c r="G12" s="7">
        <v>0</v>
      </c>
      <c r="H12" s="7">
        <v>0</v>
      </c>
      <c r="I12" s="7">
        <f>F12-G12-H12</f>
        <v>780</v>
      </c>
      <c r="J12" s="8">
        <f t="shared" si="0"/>
        <v>0.11094611432570366</v>
      </c>
    </row>
    <row r="13" spans="1:10" ht="15">
      <c r="A13" s="57"/>
      <c r="B13" s="4" t="s">
        <v>17</v>
      </c>
      <c r="C13" s="7"/>
      <c r="D13" s="13">
        <v>5630</v>
      </c>
      <c r="E13" s="13">
        <v>5667</v>
      </c>
      <c r="F13" s="8">
        <f>(E13-D13)*4</f>
        <v>148</v>
      </c>
      <c r="G13" s="7">
        <v>0</v>
      </c>
      <c r="H13" s="7">
        <v>0</v>
      </c>
      <c r="I13" s="7">
        <f>F13-G13-H13</f>
        <v>148</v>
      </c>
      <c r="J13" s="8">
        <f t="shared" si="0"/>
        <v>0.02105131400026172</v>
      </c>
    </row>
    <row r="14" spans="1:10" ht="15">
      <c r="A14" s="57"/>
      <c r="B14" s="4" t="s">
        <v>19</v>
      </c>
      <c r="C14" s="7"/>
      <c r="D14" s="13">
        <v>109150</v>
      </c>
      <c r="E14" s="13">
        <v>109550</v>
      </c>
      <c r="F14" s="8">
        <f>(E14-D14)*1</f>
        <v>400</v>
      </c>
      <c r="G14" s="7">
        <v>0</v>
      </c>
      <c r="H14" s="7">
        <v>0</v>
      </c>
      <c r="I14" s="7">
        <f>F14-G14-H14</f>
        <v>400</v>
      </c>
      <c r="J14" s="8">
        <f t="shared" si="0"/>
        <v>0.05689544324395059</v>
      </c>
    </row>
    <row r="15" spans="1:10" ht="15">
      <c r="A15" s="58"/>
      <c r="B15" s="4" t="s">
        <v>18</v>
      </c>
      <c r="C15" s="7"/>
      <c r="D15" s="13">
        <v>137800</v>
      </c>
      <c r="E15" s="13">
        <v>138470</v>
      </c>
      <c r="F15" s="8">
        <f>(E15-D15)*1</f>
        <v>670</v>
      </c>
      <c r="G15" s="7">
        <v>0</v>
      </c>
      <c r="H15" s="7">
        <v>0</v>
      </c>
      <c r="I15" s="7">
        <f>F15-G15-H15</f>
        <v>670</v>
      </c>
      <c r="J15" s="8">
        <f t="shared" si="0"/>
        <v>0.09529986743361725</v>
      </c>
    </row>
    <row r="16" spans="1:12" ht="15">
      <c r="A16" s="36"/>
      <c r="B16" s="36" t="s">
        <v>14</v>
      </c>
      <c r="C16" s="36"/>
      <c r="D16" s="9"/>
      <c r="E16" s="36"/>
      <c r="F16" s="37">
        <f>SUM(F11:F15)</f>
        <v>2928</v>
      </c>
      <c r="G16" s="37">
        <f>SUM(G11:G15)</f>
        <v>0</v>
      </c>
      <c r="H16" s="37">
        <f>SUM(H11:H15)</f>
        <v>0</v>
      </c>
      <c r="I16" s="37">
        <f>SUM(I11:I15)</f>
        <v>2928</v>
      </c>
      <c r="J16" s="8">
        <f t="shared" si="0"/>
        <v>0.41647464454571836</v>
      </c>
      <c r="K16" s="24"/>
      <c r="L16" s="10"/>
    </row>
    <row r="17" spans="1:12" ht="15">
      <c r="A17" s="19"/>
      <c r="B17" s="19"/>
      <c r="C17" s="19"/>
      <c r="D17" s="20"/>
      <c r="E17" s="22" t="s">
        <v>20</v>
      </c>
      <c r="F17" s="21">
        <f>F11+F13+F14</f>
        <v>1478</v>
      </c>
      <c r="G17" s="21">
        <f>G11+G13+G14</f>
        <v>0</v>
      </c>
      <c r="H17" s="21">
        <f>H11+H13+H14</f>
        <v>0</v>
      </c>
      <c r="I17" s="21">
        <f>I11+I13+I14</f>
        <v>1478</v>
      </c>
      <c r="J17" s="8">
        <f t="shared" si="0"/>
        <v>0.21022866278639746</v>
      </c>
      <c r="K17" s="24"/>
      <c r="L17" s="10"/>
    </row>
    <row r="18" spans="1:10" ht="15">
      <c r="A18" s="19"/>
      <c r="B18" s="19"/>
      <c r="C18" s="19"/>
      <c r="D18" s="20"/>
      <c r="E18" s="22" t="s">
        <v>21</v>
      </c>
      <c r="F18" s="21">
        <f>F12+F15</f>
        <v>1450</v>
      </c>
      <c r="G18" s="21">
        <f>G12+G15</f>
        <v>0</v>
      </c>
      <c r="H18" s="21">
        <f>H12+H15</f>
        <v>0</v>
      </c>
      <c r="I18" s="21">
        <f>I12+I15</f>
        <v>1450</v>
      </c>
      <c r="J18" s="8">
        <f t="shared" si="0"/>
        <v>0.2062459817593209</v>
      </c>
    </row>
    <row r="19" spans="1:8" ht="15">
      <c r="A19" s="1"/>
      <c r="B19" s="1"/>
      <c r="C19" s="1"/>
      <c r="D19" s="1"/>
      <c r="E19" s="1"/>
      <c r="F19" s="23"/>
      <c r="G19" s="10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/>
  <mergeCells count="11">
    <mergeCell ref="H5:H6"/>
    <mergeCell ref="A11:A15"/>
    <mergeCell ref="I5:I6"/>
    <mergeCell ref="J5:J6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2014-02-06T04:30:53Z</dcterms:modified>
  <cp:category/>
  <cp:version/>
  <cp:contentType/>
  <cp:contentStatus/>
</cp:coreProperties>
</file>