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80 (январь)  " sheetId="1" r:id="rId1"/>
    <sheet name="80 (февраль)" sheetId="2" r:id="rId2"/>
    <sheet name="80 (март)" sheetId="3" r:id="rId3"/>
    <sheet name="80 (апрель)" sheetId="4" r:id="rId4"/>
    <sheet name="80 (май)" sheetId="5" r:id="rId5"/>
    <sheet name="80 (июнь)" sheetId="6" r:id="rId6"/>
    <sheet name="80 (июль)" sheetId="7" r:id="rId7"/>
    <sheet name="80 (август)" sheetId="8" r:id="rId8"/>
    <sheet name="80 (сентябрь)" sheetId="9" r:id="rId9"/>
    <sheet name="80 (октябрь)" sheetId="10" r:id="rId10"/>
    <sheet name="80 (ноябрь)" sheetId="11" r:id="rId11"/>
    <sheet name="80 (декабрь)" sheetId="12" r:id="rId12"/>
    <sheet name="Лист2" sheetId="13" r:id="rId13"/>
    <sheet name="Лист3" sheetId="14" r:id="rId14"/>
  </sheets>
  <definedNames/>
  <calcPr fullCalcOnLoad="1"/>
</workbook>
</file>

<file path=xl/sharedStrings.xml><?xml version="1.0" encoding="utf-8"?>
<sst xmlns="http://schemas.openxmlformats.org/spreadsheetml/2006/main" count="393" uniqueCount="55">
  <si>
    <t xml:space="preserve"> </t>
  </si>
  <si>
    <t>Услуга</t>
  </si>
  <si>
    <t xml:space="preserve">показания общедомового прибора учета </t>
  </si>
  <si>
    <t>итого к предъявлению ОДН</t>
  </si>
  <si>
    <t>на 1 кв.м</t>
  </si>
  <si>
    <t>показания прибора учета (моп, лифты, дымоудаление)</t>
  </si>
  <si>
    <t>Репина 80</t>
  </si>
  <si>
    <t>ГВС (тонн)</t>
  </si>
  <si>
    <t>водоотведение(тонн)</t>
  </si>
  <si>
    <t>показание 1</t>
  </si>
  <si>
    <t>показание 2</t>
  </si>
  <si>
    <t>итого по эл.эн.</t>
  </si>
  <si>
    <t>эл.эн.день № сч.508320</t>
  </si>
  <si>
    <t>эл.эн.ночь № сч.508320</t>
  </si>
  <si>
    <t>эл.эн.день № сч.701863</t>
  </si>
  <si>
    <t>эл.эн.ночь № сч.701863</t>
  </si>
  <si>
    <t>эл.эн.ночь № сч.011335</t>
  </si>
  <si>
    <t>эл.эн.день № сч.011335</t>
  </si>
  <si>
    <t>эл.эн.день № сч.254853</t>
  </si>
  <si>
    <t>эл.эн.ночь № сч.254853</t>
  </si>
  <si>
    <t>эл.эн.день № сч.254677</t>
  </si>
  <si>
    <t>эл.эн.ночь № сч.254677</t>
  </si>
  <si>
    <t>эл.эн.день № сч.255313</t>
  </si>
  <si>
    <t>эл.эн.ночь № сч.255313</t>
  </si>
  <si>
    <t>день эл.эн.</t>
  </si>
  <si>
    <t>ночь эл.эн.</t>
  </si>
  <si>
    <t xml:space="preserve">объем потребления </t>
  </si>
  <si>
    <t xml:space="preserve">начисление по индивидуальным приборам учета и нормативу </t>
  </si>
  <si>
    <t xml:space="preserve">начисление сторонним потребителям </t>
  </si>
  <si>
    <t>Объем коммунальных услуг по показаниям общедомовых приборов учета (ОДН) за январь в феврале 2013г.</t>
  </si>
  <si>
    <t>53743./55434</t>
  </si>
  <si>
    <t>Объем коммунальных услуг по показаниям общедомовых приборов учета (ОДН) за февраль в марте 2013г.</t>
  </si>
  <si>
    <t>55434./57453</t>
  </si>
  <si>
    <t>ХВС (тонн)</t>
  </si>
  <si>
    <t>Объем коммунальных услуг по показаниям общедомовых приборов учета (ОДН) за март в апреле 2013г.</t>
  </si>
  <si>
    <t>57453./59047</t>
  </si>
  <si>
    <t>Объем коммунальных услуг по показаниям общедомовых приборов учета (ОДН) за апрель в мае 2013г.</t>
  </si>
  <si>
    <t>нагрев воды (Г.кал.)</t>
  </si>
  <si>
    <t>59047./60804</t>
  </si>
  <si>
    <t>Объем коммунальных услуг по показаниям общедомовых приборов учета (ОДН) за май в июне 2013г.</t>
  </si>
  <si>
    <t>60804,/62467</t>
  </si>
  <si>
    <t>Объем коммунальных услуг по показаниям общедомовых приборов учета (ОДН) за июнь в июле 2013г.</t>
  </si>
  <si>
    <t>62467,/64144</t>
  </si>
  <si>
    <t>Объем коммунальных услуг по показаниям общедомовых приборов учета (ОДН) за июль в августе 2013г.</t>
  </si>
  <si>
    <t>58355/59819,5789/5890</t>
  </si>
  <si>
    <t>Объем коммунальных услуг по показаниям общедомовых приборов учета (ОДН) за август в сентябре 2013г.</t>
  </si>
  <si>
    <t>59819/61507,5890/6032</t>
  </si>
  <si>
    <t>Объем коммунальных услуг по показаниям общедомовых приборов учета (ОДН) за сентябрь в октябре 2013г.</t>
  </si>
  <si>
    <t>61507/63053,6032/6155</t>
  </si>
  <si>
    <t>Объем коммунальных услуг по показаниям общедомовых приборов учета (ОДН) за октябрь в ноябре 2013г.</t>
  </si>
  <si>
    <t>63053/64675,6155/6286</t>
  </si>
  <si>
    <t>Объем коммунальных услуг по показаниям общедомовых приборов учета (ОДН) за ноябрь в декабре 2013г.</t>
  </si>
  <si>
    <t>64675/65384,6286/6405</t>
  </si>
  <si>
    <t>21*46,663;2/801,6405/6549</t>
  </si>
  <si>
    <t>Объем коммунальных услуг по показаниям общедомовых приборов учета (ОДН) за декабрь в январе 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</si>
</sst>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  <numFmt numFmtId="168" formatCode="0.0000"/>
    <numFmt numFmtId="169" formatCode="#,##0.0000"/>
  </numFmts>
  <fonts count="2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9" sqref="B9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71093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29</v>
      </c>
    </row>
    <row r="4" spans="1:10" ht="15">
      <c r="A4" s="41" t="s">
        <v>6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69.75" customHeight="1">
      <c r="A5" s="44" t="s">
        <v>0</v>
      </c>
      <c r="B5" s="46" t="s">
        <v>1</v>
      </c>
      <c r="C5" s="44" t="s">
        <v>2</v>
      </c>
      <c r="D5" s="48" t="s">
        <v>5</v>
      </c>
      <c r="E5" s="49"/>
      <c r="F5" s="44" t="s">
        <v>26</v>
      </c>
      <c r="G5" s="44" t="s">
        <v>27</v>
      </c>
      <c r="H5" s="44" t="s">
        <v>28</v>
      </c>
      <c r="I5" s="44" t="s">
        <v>3</v>
      </c>
      <c r="J5" s="46" t="s">
        <v>4</v>
      </c>
    </row>
    <row r="6" spans="1:10" ht="31.5" customHeight="1">
      <c r="A6" s="45"/>
      <c r="B6" s="47"/>
      <c r="C6" s="45"/>
      <c r="D6" s="10" t="s">
        <v>9</v>
      </c>
      <c r="E6" s="4" t="s">
        <v>10</v>
      </c>
      <c r="F6" s="45"/>
      <c r="G6" s="45"/>
      <c r="H6" s="45"/>
      <c r="I6" s="45"/>
      <c r="J6" s="47"/>
    </row>
    <row r="7" spans="1:12" ht="15">
      <c r="A7" s="2">
        <v>1</v>
      </c>
      <c r="B7" s="3" t="s">
        <v>7</v>
      </c>
      <c r="C7" s="7"/>
      <c r="D7" s="5"/>
      <c r="E7" s="5"/>
      <c r="F7" s="7">
        <f>1030.47</f>
        <v>1030.47</v>
      </c>
      <c r="G7" s="6">
        <f>461.15+467.267+74.945</f>
        <v>1003.3619999999999</v>
      </c>
      <c r="H7" s="6">
        <v>0</v>
      </c>
      <c r="I7" s="6">
        <f aca="true" t="shared" si="0" ref="I7:I21">F7-G7-H7</f>
        <v>27.108000000000175</v>
      </c>
      <c r="J7" s="7">
        <f aca="true" t="shared" si="1" ref="J7:J24">I7/15408.1</f>
        <v>0.001759334376074933</v>
      </c>
      <c r="L7" s="20"/>
    </row>
    <row r="8" spans="1:12" ht="15">
      <c r="A8" s="2">
        <v>2</v>
      </c>
      <c r="B8" s="3" t="s">
        <v>33</v>
      </c>
      <c r="C8" s="6" t="s">
        <v>30</v>
      </c>
      <c r="D8" s="5"/>
      <c r="E8" s="5"/>
      <c r="F8" s="6">
        <v>1691</v>
      </c>
      <c r="G8" s="6">
        <f>557.75+747.255+63.797</f>
        <v>1368.8020000000001</v>
      </c>
      <c r="H8" s="6">
        <f>1+2+1+2+1+15+2+76+77</f>
        <v>177</v>
      </c>
      <c r="I8" s="6">
        <f t="shared" si="0"/>
        <v>145.19799999999987</v>
      </c>
      <c r="J8" s="7">
        <f t="shared" si="1"/>
        <v>0.009423485050071057</v>
      </c>
      <c r="L8" s="20"/>
    </row>
    <row r="9" spans="1:12" ht="15">
      <c r="A9" s="2">
        <v>3</v>
      </c>
      <c r="B9" s="3" t="s">
        <v>8</v>
      </c>
      <c r="C9" s="6"/>
      <c r="D9" s="5"/>
      <c r="E9" s="5"/>
      <c r="F9" s="6">
        <f>F7+F8</f>
        <v>2721.4700000000003</v>
      </c>
      <c r="G9" s="6">
        <f>1018.9+1249.78+103.484+12.078+10.77</f>
        <v>2395.0119999999997</v>
      </c>
      <c r="H9" s="6">
        <f>H7+H8</f>
        <v>177</v>
      </c>
      <c r="I9" s="6">
        <f t="shared" si="0"/>
        <v>149.45800000000054</v>
      </c>
      <c r="J9" s="7">
        <f t="shared" si="1"/>
        <v>0.009699963006470658</v>
      </c>
      <c r="L9" s="20"/>
    </row>
    <row r="10" spans="1:10" ht="15">
      <c r="A10" s="39">
        <v>4</v>
      </c>
      <c r="B10" s="3" t="s">
        <v>12</v>
      </c>
      <c r="C10" s="6"/>
      <c r="D10" s="11">
        <v>33987</v>
      </c>
      <c r="E10" s="11">
        <v>34522</v>
      </c>
      <c r="F10" s="7">
        <f>(E10-D10)*1</f>
        <v>535</v>
      </c>
      <c r="G10" s="6">
        <v>0</v>
      </c>
      <c r="H10" s="6">
        <v>535</v>
      </c>
      <c r="I10" s="6">
        <f t="shared" si="0"/>
        <v>0</v>
      </c>
      <c r="J10" s="7">
        <f t="shared" si="1"/>
        <v>0</v>
      </c>
    </row>
    <row r="11" spans="1:10" ht="15">
      <c r="A11" s="40"/>
      <c r="B11" s="3" t="s">
        <v>13</v>
      </c>
      <c r="C11" s="6"/>
      <c r="D11" s="11">
        <v>42976</v>
      </c>
      <c r="E11" s="11">
        <v>43653</v>
      </c>
      <c r="F11" s="7">
        <f>(E11-D11)*1</f>
        <v>677</v>
      </c>
      <c r="G11" s="6">
        <v>0</v>
      </c>
      <c r="H11" s="6">
        <v>614</v>
      </c>
      <c r="I11" s="6">
        <f t="shared" si="0"/>
        <v>63</v>
      </c>
      <c r="J11" s="7">
        <f t="shared" si="1"/>
        <v>0.00408875851013428</v>
      </c>
    </row>
    <row r="12" spans="1:10" ht="15">
      <c r="A12" s="40"/>
      <c r="B12" s="3" t="s">
        <v>14</v>
      </c>
      <c r="C12" s="6"/>
      <c r="D12" s="11">
        <v>70733</v>
      </c>
      <c r="E12" s="11">
        <v>72475</v>
      </c>
      <c r="F12" s="7">
        <f>(E12-D12)*1</f>
        <v>1742</v>
      </c>
      <c r="G12" s="6">
        <v>0</v>
      </c>
      <c r="H12" s="6">
        <v>0</v>
      </c>
      <c r="I12" s="6">
        <f t="shared" si="0"/>
        <v>1742</v>
      </c>
      <c r="J12" s="7">
        <f t="shared" si="1"/>
        <v>0.11305741785164945</v>
      </c>
    </row>
    <row r="13" spans="1:10" ht="15">
      <c r="A13" s="40"/>
      <c r="B13" s="3" t="s">
        <v>15</v>
      </c>
      <c r="C13" s="6"/>
      <c r="D13" s="11">
        <v>71963</v>
      </c>
      <c r="E13" s="11">
        <v>73710</v>
      </c>
      <c r="F13" s="7">
        <f>(E13-D13)*1</f>
        <v>1747</v>
      </c>
      <c r="G13" s="6">
        <v>0</v>
      </c>
      <c r="H13" s="6">
        <v>0</v>
      </c>
      <c r="I13" s="6">
        <f t="shared" si="0"/>
        <v>1747</v>
      </c>
      <c r="J13" s="7">
        <f t="shared" si="1"/>
        <v>0.1133819224953109</v>
      </c>
    </row>
    <row r="14" spans="1:10" ht="15">
      <c r="A14" s="12"/>
      <c r="B14" s="3" t="s">
        <v>17</v>
      </c>
      <c r="C14" s="13"/>
      <c r="D14" s="11">
        <v>8967</v>
      </c>
      <c r="E14" s="14">
        <v>9095</v>
      </c>
      <c r="F14" s="7">
        <f>(E14-D14)*20</f>
        <v>2560</v>
      </c>
      <c r="G14" s="6">
        <v>0</v>
      </c>
      <c r="H14" s="13">
        <v>0</v>
      </c>
      <c r="I14" s="6">
        <f t="shared" si="0"/>
        <v>2560</v>
      </c>
      <c r="J14" s="7">
        <f t="shared" si="1"/>
        <v>0.1661463775546628</v>
      </c>
    </row>
    <row r="15" spans="1:10" ht="15">
      <c r="A15" s="12"/>
      <c r="B15" s="3" t="s">
        <v>16</v>
      </c>
      <c r="C15" s="13"/>
      <c r="D15" s="11">
        <v>9513</v>
      </c>
      <c r="E15" s="14">
        <v>9646</v>
      </c>
      <c r="F15" s="7">
        <f>(E15-D15)*20</f>
        <v>2660</v>
      </c>
      <c r="G15" s="6">
        <v>0</v>
      </c>
      <c r="H15" s="13">
        <v>0</v>
      </c>
      <c r="I15" s="6">
        <f t="shared" si="0"/>
        <v>2660</v>
      </c>
      <c r="J15" s="7">
        <f t="shared" si="1"/>
        <v>0.17263647042789182</v>
      </c>
    </row>
    <row r="16" spans="1:10" ht="15">
      <c r="A16" s="12"/>
      <c r="B16" s="3" t="s">
        <v>18</v>
      </c>
      <c r="C16" s="13"/>
      <c r="D16" s="11">
        <v>93170</v>
      </c>
      <c r="E16" s="14">
        <v>94350</v>
      </c>
      <c r="F16" s="15">
        <f aca="true" t="shared" si="2" ref="F16:F21">(E16-D16)*1</f>
        <v>1180</v>
      </c>
      <c r="G16" s="6">
        <v>0</v>
      </c>
      <c r="H16" s="13">
        <v>0</v>
      </c>
      <c r="I16" s="6">
        <f t="shared" si="0"/>
        <v>1180</v>
      </c>
      <c r="J16" s="7">
        <f t="shared" si="1"/>
        <v>0.07658309590410238</v>
      </c>
    </row>
    <row r="17" spans="1:10" ht="15">
      <c r="A17" s="12"/>
      <c r="B17" s="3" t="s">
        <v>19</v>
      </c>
      <c r="C17" s="13"/>
      <c r="D17" s="11">
        <v>100870</v>
      </c>
      <c r="E17" s="14">
        <v>101995</v>
      </c>
      <c r="F17" s="15">
        <f t="shared" si="2"/>
        <v>1125</v>
      </c>
      <c r="G17" s="6">
        <v>0</v>
      </c>
      <c r="H17" s="13">
        <v>0</v>
      </c>
      <c r="I17" s="6">
        <f t="shared" si="0"/>
        <v>1125</v>
      </c>
      <c r="J17" s="7">
        <f t="shared" si="1"/>
        <v>0.07301354482382642</v>
      </c>
    </row>
    <row r="18" spans="1:10" ht="15">
      <c r="A18" s="12"/>
      <c r="B18" s="3" t="s">
        <v>20</v>
      </c>
      <c r="C18" s="13"/>
      <c r="D18" s="11">
        <v>50557</v>
      </c>
      <c r="E18" s="14">
        <v>51080</v>
      </c>
      <c r="F18" s="15">
        <f t="shared" si="2"/>
        <v>523</v>
      </c>
      <c r="G18" s="6">
        <v>0</v>
      </c>
      <c r="H18" s="13">
        <v>0</v>
      </c>
      <c r="I18" s="6">
        <f t="shared" si="0"/>
        <v>523</v>
      </c>
      <c r="J18" s="7">
        <f t="shared" si="1"/>
        <v>0.033943185726987755</v>
      </c>
    </row>
    <row r="19" spans="1:10" ht="15">
      <c r="A19" s="12"/>
      <c r="B19" s="3" t="s">
        <v>21</v>
      </c>
      <c r="C19" s="13"/>
      <c r="D19" s="11">
        <v>56912</v>
      </c>
      <c r="E19" s="14">
        <v>57508</v>
      </c>
      <c r="F19" s="15">
        <f t="shared" si="2"/>
        <v>596</v>
      </c>
      <c r="G19" s="6">
        <v>0</v>
      </c>
      <c r="H19" s="13">
        <v>0</v>
      </c>
      <c r="I19" s="6">
        <f t="shared" si="0"/>
        <v>596</v>
      </c>
      <c r="J19" s="7">
        <f t="shared" si="1"/>
        <v>0.038680953524444936</v>
      </c>
    </row>
    <row r="20" spans="1:10" ht="15">
      <c r="A20" s="12"/>
      <c r="B20" s="3" t="s">
        <v>22</v>
      </c>
      <c r="C20" s="13"/>
      <c r="D20" s="11">
        <v>12658</v>
      </c>
      <c r="E20" s="14">
        <v>12983</v>
      </c>
      <c r="F20" s="15">
        <f t="shared" si="2"/>
        <v>325</v>
      </c>
      <c r="G20" s="6">
        <v>0</v>
      </c>
      <c r="H20" s="13">
        <v>0</v>
      </c>
      <c r="I20" s="6">
        <f t="shared" si="0"/>
        <v>325</v>
      </c>
      <c r="J20" s="7">
        <f t="shared" si="1"/>
        <v>0.0210928018379943</v>
      </c>
    </row>
    <row r="21" spans="1:10" ht="15">
      <c r="A21" s="12"/>
      <c r="B21" s="3" t="s">
        <v>23</v>
      </c>
      <c r="C21" s="13"/>
      <c r="D21" s="11">
        <v>28686</v>
      </c>
      <c r="E21" s="14">
        <v>29131</v>
      </c>
      <c r="F21" s="15">
        <f t="shared" si="2"/>
        <v>445</v>
      </c>
      <c r="G21" s="6">
        <v>0</v>
      </c>
      <c r="H21" s="13">
        <v>0</v>
      </c>
      <c r="I21" s="6">
        <f t="shared" si="0"/>
        <v>445</v>
      </c>
      <c r="J21" s="7">
        <f t="shared" si="1"/>
        <v>0.02888091328586912</v>
      </c>
    </row>
    <row r="22" spans="1:10" ht="15">
      <c r="A22" s="16"/>
      <c r="B22" s="16" t="s">
        <v>11</v>
      </c>
      <c r="C22" s="16"/>
      <c r="D22" s="8"/>
      <c r="E22" s="16"/>
      <c r="F22" s="17">
        <f>SUM(F10:F21)</f>
        <v>14115</v>
      </c>
      <c r="G22" s="17">
        <f>SUM(G10:G21)</f>
        <v>0</v>
      </c>
      <c r="H22" s="17">
        <f>SUM(H10:H21)</f>
        <v>1149</v>
      </c>
      <c r="I22" s="17">
        <f>SUM(I10:I21)</f>
        <v>12966</v>
      </c>
      <c r="J22" s="7">
        <f t="shared" si="1"/>
        <v>0.8415054419428741</v>
      </c>
    </row>
    <row r="23" spans="1:12" ht="15">
      <c r="A23" s="1"/>
      <c r="B23" s="1"/>
      <c r="C23" s="1"/>
      <c r="D23" s="1"/>
      <c r="E23" s="1" t="s">
        <v>24</v>
      </c>
      <c r="F23" s="18">
        <f aca="true" t="shared" si="3" ref="F23:I24">F10+F12+F14+F16+F18+F20</f>
        <v>6865</v>
      </c>
      <c r="G23" s="18">
        <f t="shared" si="3"/>
        <v>0</v>
      </c>
      <c r="H23" s="18">
        <f t="shared" si="3"/>
        <v>535</v>
      </c>
      <c r="I23" s="18">
        <f t="shared" si="3"/>
        <v>6330</v>
      </c>
      <c r="J23" s="7">
        <f t="shared" si="1"/>
        <v>0.4108228788753967</v>
      </c>
      <c r="K23" s="21"/>
      <c r="L23" s="20"/>
    </row>
    <row r="24" spans="1:12" ht="15">
      <c r="A24" s="1"/>
      <c r="B24" s="1"/>
      <c r="C24" s="1"/>
      <c r="D24" s="1"/>
      <c r="E24" s="1" t="s">
        <v>25</v>
      </c>
      <c r="F24" s="19">
        <f t="shared" si="3"/>
        <v>7250</v>
      </c>
      <c r="G24" s="19">
        <f t="shared" si="3"/>
        <v>0</v>
      </c>
      <c r="H24" s="19">
        <f t="shared" si="3"/>
        <v>614</v>
      </c>
      <c r="I24" s="19">
        <f t="shared" si="3"/>
        <v>6636</v>
      </c>
      <c r="J24" s="7">
        <f t="shared" si="1"/>
        <v>0.4306825630674775</v>
      </c>
      <c r="K24" s="21"/>
      <c r="L24" s="20"/>
    </row>
  </sheetData>
  <sheetProtection/>
  <mergeCells count="11">
    <mergeCell ref="J5:J6"/>
    <mergeCell ref="A10:A13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8" sqref="C8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21.4218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27" t="s">
        <v>49</v>
      </c>
    </row>
    <row r="4" spans="1:10" ht="1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9.75" customHeight="1">
      <c r="A5" s="53" t="s">
        <v>0</v>
      </c>
      <c r="B5" s="55" t="s">
        <v>1</v>
      </c>
      <c r="C5" s="53" t="s">
        <v>2</v>
      </c>
      <c r="D5" s="57" t="s">
        <v>5</v>
      </c>
      <c r="E5" s="58"/>
      <c r="F5" s="53" t="s">
        <v>26</v>
      </c>
      <c r="G5" s="53" t="s">
        <v>27</v>
      </c>
      <c r="H5" s="53" t="s">
        <v>28</v>
      </c>
      <c r="I5" s="53" t="s">
        <v>3</v>
      </c>
      <c r="J5" s="55" t="s">
        <v>4</v>
      </c>
    </row>
    <row r="6" spans="1:10" ht="31.5" customHeight="1">
      <c r="A6" s="54"/>
      <c r="B6" s="56"/>
      <c r="C6" s="54"/>
      <c r="D6" s="28" t="s">
        <v>9</v>
      </c>
      <c r="E6" s="29" t="s">
        <v>10</v>
      </c>
      <c r="F6" s="54"/>
      <c r="G6" s="54"/>
      <c r="H6" s="54"/>
      <c r="I6" s="54"/>
      <c r="J6" s="56"/>
    </row>
    <row r="7" spans="1:12" ht="15">
      <c r="A7" s="30">
        <v>1</v>
      </c>
      <c r="B7" s="31" t="s">
        <v>37</v>
      </c>
      <c r="C7" s="30"/>
      <c r="D7" s="32"/>
      <c r="E7" s="33"/>
      <c r="F7" s="34">
        <f>13.1+33.19+29.67+7.1</f>
        <v>83.06</v>
      </c>
      <c r="G7" s="34">
        <f>G8*0.0478</f>
        <v>64.9294646</v>
      </c>
      <c r="H7" s="34">
        <v>0</v>
      </c>
      <c r="I7" s="6">
        <f>44.0064*0.0478</f>
        <v>2.10350592</v>
      </c>
      <c r="J7" s="7">
        <f aca="true" t="shared" si="0" ref="J7:J25">I7/15407.4</f>
        <v>0.0001365256902527357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119+520.98+338.36+112.39</f>
        <v>1090.73</v>
      </c>
      <c r="G8" s="6">
        <f>761.9+453.877+142.58</f>
        <v>1358.357</v>
      </c>
      <c r="H8" s="6">
        <v>0</v>
      </c>
      <c r="I8" s="6">
        <f>F8-G8-H8</f>
        <v>-267.62699999999995</v>
      </c>
      <c r="J8" s="7">
        <f t="shared" si="0"/>
        <v>-0.017370029985591336</v>
      </c>
      <c r="L8" s="20"/>
    </row>
    <row r="9" spans="1:12" ht="15">
      <c r="A9" s="2">
        <v>3</v>
      </c>
      <c r="B9" s="3" t="s">
        <v>33</v>
      </c>
      <c r="C9" s="6" t="s">
        <v>50</v>
      </c>
      <c r="D9" s="5"/>
      <c r="E9" s="5"/>
      <c r="F9" s="6">
        <f>1622+131</f>
        <v>1753</v>
      </c>
      <c r="G9" s="6">
        <f>485+834.371+195.88</f>
        <v>1515.2510000000002</v>
      </c>
      <c r="H9" s="6">
        <f>112</f>
        <v>112</v>
      </c>
      <c r="I9" s="6">
        <v>44.0064</v>
      </c>
      <c r="J9" s="7">
        <f t="shared" si="0"/>
        <v>0.002856185988550956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2843.73</v>
      </c>
      <c r="G10" s="6">
        <f>886+1226.248+225.06+523.5+12.8</f>
        <v>2873.608</v>
      </c>
      <c r="H10" s="6">
        <f>H8+H9</f>
        <v>112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12</v>
      </c>
      <c r="C11" s="6"/>
      <c r="D11" s="11">
        <v>36553</v>
      </c>
      <c r="E11" s="11">
        <v>36855</v>
      </c>
      <c r="F11" s="7">
        <f>(E11-D11)*1</f>
        <v>302</v>
      </c>
      <c r="G11" s="6">
        <v>0</v>
      </c>
      <c r="H11" s="6">
        <v>0</v>
      </c>
      <c r="I11" s="6">
        <f aca="true" t="shared" si="1" ref="I11:I22">F11-G11-H11</f>
        <v>302</v>
      </c>
      <c r="J11" s="7">
        <f t="shared" si="0"/>
        <v>0.01960097096200527</v>
      </c>
    </row>
    <row r="12" spans="1:10" ht="15">
      <c r="A12" s="50"/>
      <c r="B12" s="3" t="s">
        <v>13</v>
      </c>
      <c r="C12" s="6"/>
      <c r="D12" s="11">
        <v>46139</v>
      </c>
      <c r="E12" s="11">
        <v>46565</v>
      </c>
      <c r="F12" s="7">
        <f>(E12-D12)*1</f>
        <v>426</v>
      </c>
      <c r="G12" s="6">
        <v>0</v>
      </c>
      <c r="H12" s="6">
        <v>0</v>
      </c>
      <c r="I12" s="6">
        <f t="shared" si="1"/>
        <v>426</v>
      </c>
      <c r="J12" s="7">
        <f t="shared" si="0"/>
        <v>0.027649051754351804</v>
      </c>
    </row>
    <row r="13" spans="1:10" ht="15">
      <c r="A13" s="50"/>
      <c r="B13" s="3" t="s">
        <v>14</v>
      </c>
      <c r="C13" s="6"/>
      <c r="D13" s="11">
        <v>77968</v>
      </c>
      <c r="E13" s="11">
        <v>78539</v>
      </c>
      <c r="F13" s="7">
        <f>(E13-D13)*1</f>
        <v>571</v>
      </c>
      <c r="G13" s="6">
        <v>0</v>
      </c>
      <c r="H13" s="6">
        <v>0</v>
      </c>
      <c r="I13" s="6">
        <f t="shared" si="1"/>
        <v>571</v>
      </c>
      <c r="J13" s="7">
        <f t="shared" si="0"/>
        <v>0.03706011397120864</v>
      </c>
    </row>
    <row r="14" spans="1:10" ht="15">
      <c r="A14" s="50"/>
      <c r="B14" s="3" t="s">
        <v>15</v>
      </c>
      <c r="C14" s="6"/>
      <c r="D14" s="11">
        <v>78685</v>
      </c>
      <c r="E14" s="11">
        <v>79145</v>
      </c>
      <c r="F14" s="7">
        <f>(E14-D14)*1</f>
        <v>460</v>
      </c>
      <c r="G14" s="6">
        <v>0</v>
      </c>
      <c r="H14" s="6">
        <v>0</v>
      </c>
      <c r="I14" s="6">
        <f t="shared" si="1"/>
        <v>460</v>
      </c>
      <c r="J14" s="7">
        <f t="shared" si="0"/>
        <v>0.02985578358451134</v>
      </c>
    </row>
    <row r="15" spans="1:10" ht="15">
      <c r="A15" s="50"/>
      <c r="B15" s="3" t="s">
        <v>17</v>
      </c>
      <c r="C15" s="6"/>
      <c r="D15" s="11">
        <v>9727</v>
      </c>
      <c r="E15" s="11">
        <v>9822</v>
      </c>
      <c r="F15" s="7">
        <f>(E15-D15)*20</f>
        <v>1900</v>
      </c>
      <c r="G15" s="6">
        <v>0</v>
      </c>
      <c r="H15" s="6">
        <v>0</v>
      </c>
      <c r="I15" s="6">
        <f t="shared" si="1"/>
        <v>1900</v>
      </c>
      <c r="J15" s="7">
        <f t="shared" si="0"/>
        <v>0.12331736697950337</v>
      </c>
    </row>
    <row r="16" spans="1:10" ht="15">
      <c r="A16" s="50"/>
      <c r="B16" s="3" t="s">
        <v>16</v>
      </c>
      <c r="C16" s="6"/>
      <c r="D16" s="11">
        <v>10334</v>
      </c>
      <c r="E16" s="11">
        <v>10441</v>
      </c>
      <c r="F16" s="7">
        <f>(E16-D16)*20</f>
        <v>2140</v>
      </c>
      <c r="G16" s="6">
        <v>0</v>
      </c>
      <c r="H16" s="6">
        <v>0</v>
      </c>
      <c r="I16" s="6">
        <f t="shared" si="1"/>
        <v>2140</v>
      </c>
      <c r="J16" s="7">
        <f t="shared" si="0"/>
        <v>0.13889429754533536</v>
      </c>
    </row>
    <row r="17" spans="1:10" ht="15">
      <c r="A17" s="50"/>
      <c r="B17" s="3" t="s">
        <v>18</v>
      </c>
      <c r="C17" s="6"/>
      <c r="D17" s="11">
        <v>101584</v>
      </c>
      <c r="E17" s="11">
        <v>102548</v>
      </c>
      <c r="F17" s="7">
        <f aca="true" t="shared" si="2" ref="F17:F22">(E17-D17)*1</f>
        <v>964</v>
      </c>
      <c r="G17" s="6">
        <v>0</v>
      </c>
      <c r="H17" s="6">
        <v>0</v>
      </c>
      <c r="I17" s="6">
        <f t="shared" si="1"/>
        <v>964</v>
      </c>
      <c r="J17" s="7">
        <f t="shared" si="0"/>
        <v>0.06256733777275855</v>
      </c>
    </row>
    <row r="18" spans="1:10" ht="15">
      <c r="A18" s="50"/>
      <c r="B18" s="3" t="s">
        <v>19</v>
      </c>
      <c r="C18" s="6"/>
      <c r="D18" s="11">
        <v>108958</v>
      </c>
      <c r="E18" s="11">
        <v>109909</v>
      </c>
      <c r="F18" s="7">
        <f t="shared" si="2"/>
        <v>951</v>
      </c>
      <c r="G18" s="6">
        <v>0</v>
      </c>
      <c r="H18" s="6">
        <v>0</v>
      </c>
      <c r="I18" s="6">
        <f t="shared" si="1"/>
        <v>951</v>
      </c>
      <c r="J18" s="7">
        <f t="shared" si="0"/>
        <v>0.06172358736710931</v>
      </c>
    </row>
    <row r="19" spans="1:10" ht="15">
      <c r="A19" s="50"/>
      <c r="B19" s="3" t="s">
        <v>20</v>
      </c>
      <c r="C19" s="6"/>
      <c r="D19" s="11">
        <v>52739</v>
      </c>
      <c r="E19" s="11">
        <v>52995</v>
      </c>
      <c r="F19" s="7">
        <f t="shared" si="2"/>
        <v>256</v>
      </c>
      <c r="G19" s="6">
        <v>0</v>
      </c>
      <c r="H19" s="6">
        <v>0</v>
      </c>
      <c r="I19" s="6">
        <f t="shared" si="1"/>
        <v>256</v>
      </c>
      <c r="J19" s="7">
        <f t="shared" si="0"/>
        <v>0.016615392603554137</v>
      </c>
    </row>
    <row r="20" spans="1:10" ht="15">
      <c r="A20" s="50"/>
      <c r="B20" s="3" t="s">
        <v>21</v>
      </c>
      <c r="C20" s="6"/>
      <c r="D20" s="11">
        <v>59641</v>
      </c>
      <c r="E20" s="11">
        <v>59988</v>
      </c>
      <c r="F20" s="7">
        <f t="shared" si="2"/>
        <v>347</v>
      </c>
      <c r="G20" s="6">
        <v>0</v>
      </c>
      <c r="H20" s="6">
        <v>0</v>
      </c>
      <c r="I20" s="6">
        <f t="shared" si="1"/>
        <v>347</v>
      </c>
      <c r="J20" s="7">
        <f t="shared" si="0"/>
        <v>0.022521645443098773</v>
      </c>
    </row>
    <row r="21" spans="1:10" ht="15">
      <c r="A21" s="50"/>
      <c r="B21" s="3" t="s">
        <v>22</v>
      </c>
      <c r="C21" s="6"/>
      <c r="D21" s="11">
        <v>14000</v>
      </c>
      <c r="E21" s="11">
        <v>14133</v>
      </c>
      <c r="F21" s="7">
        <f t="shared" si="2"/>
        <v>133</v>
      </c>
      <c r="G21" s="6">
        <v>0</v>
      </c>
      <c r="H21" s="6">
        <v>0</v>
      </c>
      <c r="I21" s="6">
        <f t="shared" si="1"/>
        <v>133</v>
      </c>
      <c r="J21" s="7">
        <f t="shared" si="0"/>
        <v>0.008632215688565235</v>
      </c>
    </row>
    <row r="22" spans="1:10" ht="15">
      <c r="A22" s="50"/>
      <c r="B22" s="3" t="s">
        <v>23</v>
      </c>
      <c r="C22" s="6"/>
      <c r="D22" s="11">
        <v>31679</v>
      </c>
      <c r="E22" s="11">
        <v>32203</v>
      </c>
      <c r="F22" s="7">
        <f t="shared" si="2"/>
        <v>524</v>
      </c>
      <c r="G22" s="6">
        <v>0</v>
      </c>
      <c r="H22" s="6">
        <v>0</v>
      </c>
      <c r="I22" s="6">
        <f t="shared" si="1"/>
        <v>524</v>
      </c>
      <c r="J22" s="7">
        <f t="shared" si="0"/>
        <v>0.03400963173539987</v>
      </c>
    </row>
    <row r="23" spans="1:12" ht="15">
      <c r="A23" s="59"/>
      <c r="B23" s="35" t="s">
        <v>11</v>
      </c>
      <c r="C23" s="35"/>
      <c r="D23" s="8"/>
      <c r="E23" s="35"/>
      <c r="F23" s="36">
        <f>SUM(F11:F22)</f>
        <v>8974</v>
      </c>
      <c r="G23" s="36">
        <f>SUM(G11:G22)</f>
        <v>0</v>
      </c>
      <c r="H23" s="36">
        <f>SUM(H11:H22)</f>
        <v>0</v>
      </c>
      <c r="I23" s="36">
        <f>SUM(I11:I22)</f>
        <v>8974</v>
      </c>
      <c r="J23" s="7">
        <f t="shared" si="0"/>
        <v>0.5824473954074016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37">
        <f aca="true" t="shared" si="3" ref="F24:I25">F11+F13+F15+F17+F19+F21</f>
        <v>4126</v>
      </c>
      <c r="G24" s="37">
        <f t="shared" si="3"/>
        <v>0</v>
      </c>
      <c r="H24" s="37">
        <f t="shared" si="3"/>
        <v>0</v>
      </c>
      <c r="I24" s="37">
        <f t="shared" si="3"/>
        <v>4126</v>
      </c>
      <c r="J24" s="7">
        <f t="shared" si="0"/>
        <v>0.2677933979775952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4848</v>
      </c>
      <c r="G25" s="19">
        <f t="shared" si="3"/>
        <v>0</v>
      </c>
      <c r="H25" s="19">
        <f t="shared" si="3"/>
        <v>0</v>
      </c>
      <c r="I25" s="19">
        <f t="shared" si="3"/>
        <v>4848</v>
      </c>
      <c r="J25" s="7">
        <f t="shared" si="0"/>
        <v>0.3146539974298065</v>
      </c>
    </row>
  </sheetData>
  <sheetProtection/>
  <mergeCells count="11">
    <mergeCell ref="A11:A23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5" ySplit="10" topLeftCell="F17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0" sqref="F10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21.4218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27" t="s">
        <v>51</v>
      </c>
    </row>
    <row r="4" spans="1:10" ht="1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9.75" customHeight="1">
      <c r="A5" s="53" t="s">
        <v>0</v>
      </c>
      <c r="B5" s="55" t="s">
        <v>1</v>
      </c>
      <c r="C5" s="53" t="s">
        <v>2</v>
      </c>
      <c r="D5" s="57" t="s">
        <v>5</v>
      </c>
      <c r="E5" s="58"/>
      <c r="F5" s="53" t="s">
        <v>26</v>
      </c>
      <c r="G5" s="53" t="s">
        <v>27</v>
      </c>
      <c r="H5" s="53" t="s">
        <v>28</v>
      </c>
      <c r="I5" s="53" t="s">
        <v>3</v>
      </c>
      <c r="J5" s="55" t="s">
        <v>4</v>
      </c>
    </row>
    <row r="6" spans="1:10" ht="31.5" customHeight="1">
      <c r="A6" s="54"/>
      <c r="B6" s="56"/>
      <c r="C6" s="54"/>
      <c r="D6" s="28" t="s">
        <v>9</v>
      </c>
      <c r="E6" s="29" t="s">
        <v>10</v>
      </c>
      <c r="F6" s="54"/>
      <c r="G6" s="54"/>
      <c r="H6" s="54"/>
      <c r="I6" s="54"/>
      <c r="J6" s="56"/>
    </row>
    <row r="7" spans="1:12" ht="15">
      <c r="A7" s="30">
        <v>1</v>
      </c>
      <c r="B7" s="31" t="s">
        <v>37</v>
      </c>
      <c r="C7" s="30"/>
      <c r="D7" s="32"/>
      <c r="E7" s="33"/>
      <c r="F7" s="34">
        <f>13.22+37.25+29.26+10.35</f>
        <v>90.08</v>
      </c>
      <c r="G7" s="34">
        <f>G8*0.0478</f>
        <v>62.9967194</v>
      </c>
      <c r="H7" s="34">
        <v>0</v>
      </c>
      <c r="I7" s="6">
        <f>44.0064*0.0478</f>
        <v>2.10350592</v>
      </c>
      <c r="J7" s="7">
        <f>I7/15407.3</f>
        <v>0.00013652657636315253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120+430.29+363.27+116.6</f>
        <v>1030.1599999999999</v>
      </c>
      <c r="G8" s="6">
        <f>457.613+118.46+741.85</f>
        <v>1317.923</v>
      </c>
      <c r="H8" s="6">
        <v>0</v>
      </c>
      <c r="I8" s="6">
        <f>F8-G8-H8</f>
        <v>-287.76300000000015</v>
      </c>
      <c r="J8" s="7">
        <f aca="true" t="shared" si="0" ref="J8:J25">I8/15407.3</f>
        <v>-0.01867705568139779</v>
      </c>
      <c r="L8" s="20"/>
    </row>
    <row r="9" spans="1:12" ht="15">
      <c r="A9" s="2">
        <v>3</v>
      </c>
      <c r="B9" s="3" t="s">
        <v>33</v>
      </c>
      <c r="C9" s="6" t="s">
        <v>52</v>
      </c>
      <c r="D9" s="5"/>
      <c r="E9" s="5"/>
      <c r="F9" s="6">
        <f>709+119</f>
        <v>828</v>
      </c>
      <c r="G9" s="6">
        <f>494.7+846.479+140.47</f>
        <v>1481.6490000000001</v>
      </c>
      <c r="H9" s="6">
        <f>136</f>
        <v>136</v>
      </c>
      <c r="I9" s="6">
        <f>F9-G9-H9</f>
        <v>-789.6490000000001</v>
      </c>
      <c r="J9" s="7">
        <f t="shared" si="0"/>
        <v>-0.05125161449442798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1858.1599999999999</v>
      </c>
      <c r="G10" s="6">
        <f>903.72+1165.212+173.76+439.83+33.65+72.75</f>
        <v>2788.922</v>
      </c>
      <c r="H10" s="6">
        <f>H8+H9</f>
        <v>136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12</v>
      </c>
      <c r="C11" s="6"/>
      <c r="D11" s="11">
        <v>36855</v>
      </c>
      <c r="E11" s="11">
        <v>37161</v>
      </c>
      <c r="F11" s="7">
        <f>(E11-D11)*1</f>
        <v>306</v>
      </c>
      <c r="G11" s="6">
        <v>0</v>
      </c>
      <c r="H11" s="6">
        <v>0</v>
      </c>
      <c r="I11" s="6">
        <f aca="true" t="shared" si="1" ref="I11:I22">F11-G11-H11</f>
        <v>306</v>
      </c>
      <c r="J11" s="7">
        <f t="shared" si="0"/>
        <v>0.0198607153751793</v>
      </c>
    </row>
    <row r="12" spans="1:10" ht="15">
      <c r="A12" s="50"/>
      <c r="B12" s="3" t="s">
        <v>13</v>
      </c>
      <c r="C12" s="6"/>
      <c r="D12" s="11">
        <v>46565</v>
      </c>
      <c r="E12" s="11">
        <v>46964</v>
      </c>
      <c r="F12" s="7">
        <f>(E12-D12)*1</f>
        <v>399</v>
      </c>
      <c r="G12" s="6">
        <v>0</v>
      </c>
      <c r="H12" s="6">
        <v>0</v>
      </c>
      <c r="I12" s="6">
        <f t="shared" si="1"/>
        <v>399</v>
      </c>
      <c r="J12" s="7">
        <f t="shared" si="0"/>
        <v>0.025896815146067124</v>
      </c>
    </row>
    <row r="13" spans="1:10" ht="15">
      <c r="A13" s="50"/>
      <c r="B13" s="3" t="s">
        <v>14</v>
      </c>
      <c r="C13" s="6"/>
      <c r="D13" s="11">
        <v>78539</v>
      </c>
      <c r="E13" s="11">
        <v>79336</v>
      </c>
      <c r="F13" s="7">
        <f>(E13-D13)*1</f>
        <v>797</v>
      </c>
      <c r="G13" s="6">
        <v>0</v>
      </c>
      <c r="H13" s="6">
        <v>0</v>
      </c>
      <c r="I13" s="6">
        <f t="shared" si="1"/>
        <v>797</v>
      </c>
      <c r="J13" s="7">
        <f t="shared" si="0"/>
        <v>0.05172872599352255</v>
      </c>
    </row>
    <row r="14" spans="1:10" ht="15">
      <c r="A14" s="50"/>
      <c r="B14" s="3" t="s">
        <v>15</v>
      </c>
      <c r="C14" s="6"/>
      <c r="D14" s="11">
        <v>79145</v>
      </c>
      <c r="E14" s="11">
        <v>79991</v>
      </c>
      <c r="F14" s="7">
        <f>(E14-D14)*1</f>
        <v>846</v>
      </c>
      <c r="G14" s="6">
        <v>0</v>
      </c>
      <c r="H14" s="6">
        <v>0</v>
      </c>
      <c r="I14" s="6">
        <f t="shared" si="1"/>
        <v>846</v>
      </c>
      <c r="J14" s="7">
        <f t="shared" si="0"/>
        <v>0.05490903662549571</v>
      </c>
    </row>
    <row r="15" spans="1:10" ht="15">
      <c r="A15" s="50"/>
      <c r="B15" s="3" t="s">
        <v>17</v>
      </c>
      <c r="C15" s="6"/>
      <c r="D15" s="11">
        <v>9822</v>
      </c>
      <c r="E15" s="11">
        <v>9906</v>
      </c>
      <c r="F15" s="7">
        <f>(E15-D15)*20</f>
        <v>1680</v>
      </c>
      <c r="G15" s="6">
        <v>0</v>
      </c>
      <c r="H15" s="6">
        <v>0</v>
      </c>
      <c r="I15" s="6">
        <f t="shared" si="1"/>
        <v>1680</v>
      </c>
      <c r="J15" s="7">
        <f t="shared" si="0"/>
        <v>0.10903922166765105</v>
      </c>
    </row>
    <row r="16" spans="1:10" ht="15">
      <c r="A16" s="50"/>
      <c r="B16" s="3" t="s">
        <v>16</v>
      </c>
      <c r="C16" s="6"/>
      <c r="D16" s="11">
        <v>10441</v>
      </c>
      <c r="E16" s="11">
        <v>10523</v>
      </c>
      <c r="F16" s="7">
        <f>(E16-D16)*20</f>
        <v>1640</v>
      </c>
      <c r="G16" s="6">
        <v>0</v>
      </c>
      <c r="H16" s="6">
        <v>0</v>
      </c>
      <c r="I16" s="6">
        <f t="shared" si="1"/>
        <v>1640</v>
      </c>
      <c r="J16" s="7">
        <f t="shared" si="0"/>
        <v>0.10644304972318318</v>
      </c>
    </row>
    <row r="17" spans="1:10" ht="15">
      <c r="A17" s="50"/>
      <c r="B17" s="3" t="s">
        <v>18</v>
      </c>
      <c r="C17" s="6"/>
      <c r="D17" s="11">
        <v>102548</v>
      </c>
      <c r="E17" s="11">
        <v>103348</v>
      </c>
      <c r="F17" s="7">
        <f aca="true" t="shared" si="2" ref="F17:F22">(E17-D17)*1</f>
        <v>800</v>
      </c>
      <c r="G17" s="6">
        <v>0</v>
      </c>
      <c r="H17" s="6">
        <v>0</v>
      </c>
      <c r="I17" s="6">
        <f t="shared" si="1"/>
        <v>800</v>
      </c>
      <c r="J17" s="7">
        <f t="shared" si="0"/>
        <v>0.051923438889357645</v>
      </c>
    </row>
    <row r="18" spans="1:10" ht="15">
      <c r="A18" s="50"/>
      <c r="B18" s="3" t="s">
        <v>19</v>
      </c>
      <c r="C18" s="6"/>
      <c r="D18" s="11">
        <v>109909</v>
      </c>
      <c r="E18" s="11">
        <v>110744</v>
      </c>
      <c r="F18" s="7">
        <f t="shared" si="2"/>
        <v>835</v>
      </c>
      <c r="G18" s="6">
        <v>0</v>
      </c>
      <c r="H18" s="6">
        <v>0</v>
      </c>
      <c r="I18" s="6">
        <f t="shared" si="1"/>
        <v>835</v>
      </c>
      <c r="J18" s="7">
        <f t="shared" si="0"/>
        <v>0.05419508934076704</v>
      </c>
    </row>
    <row r="19" spans="1:10" ht="15">
      <c r="A19" s="50"/>
      <c r="B19" s="3" t="s">
        <v>20</v>
      </c>
      <c r="C19" s="6"/>
      <c r="D19" s="11">
        <v>52995</v>
      </c>
      <c r="E19" s="11">
        <v>53273</v>
      </c>
      <c r="F19" s="7">
        <f t="shared" si="2"/>
        <v>278</v>
      </c>
      <c r="G19" s="6">
        <v>0</v>
      </c>
      <c r="H19" s="6">
        <v>0</v>
      </c>
      <c r="I19" s="6">
        <f t="shared" si="1"/>
        <v>278</v>
      </c>
      <c r="J19" s="7">
        <f t="shared" si="0"/>
        <v>0.01804339501405178</v>
      </c>
    </row>
    <row r="20" spans="1:10" ht="15">
      <c r="A20" s="50"/>
      <c r="B20" s="3" t="s">
        <v>21</v>
      </c>
      <c r="C20" s="6"/>
      <c r="D20" s="11">
        <v>59988</v>
      </c>
      <c r="E20" s="11">
        <v>60329</v>
      </c>
      <c r="F20" s="7">
        <f t="shared" si="2"/>
        <v>341</v>
      </c>
      <c r="G20" s="6">
        <v>0</v>
      </c>
      <c r="H20" s="6">
        <v>0</v>
      </c>
      <c r="I20" s="6">
        <f t="shared" si="1"/>
        <v>341</v>
      </c>
      <c r="J20" s="7">
        <f t="shared" si="0"/>
        <v>0.022132365826588694</v>
      </c>
    </row>
    <row r="21" spans="1:10" ht="15">
      <c r="A21" s="50"/>
      <c r="B21" s="3" t="s">
        <v>22</v>
      </c>
      <c r="C21" s="6"/>
      <c r="D21" s="11">
        <v>14133</v>
      </c>
      <c r="E21" s="11">
        <v>14310</v>
      </c>
      <c r="F21" s="7">
        <f t="shared" si="2"/>
        <v>177</v>
      </c>
      <c r="G21" s="6">
        <v>0</v>
      </c>
      <c r="H21" s="6">
        <v>0</v>
      </c>
      <c r="I21" s="6">
        <f t="shared" si="1"/>
        <v>177</v>
      </c>
      <c r="J21" s="7">
        <f t="shared" si="0"/>
        <v>0.01148806085427038</v>
      </c>
    </row>
    <row r="22" spans="1:10" ht="15">
      <c r="A22" s="50"/>
      <c r="B22" s="3" t="s">
        <v>23</v>
      </c>
      <c r="C22" s="6"/>
      <c r="D22" s="11">
        <v>32203</v>
      </c>
      <c r="E22" s="11">
        <v>32274</v>
      </c>
      <c r="F22" s="7">
        <f t="shared" si="2"/>
        <v>71</v>
      </c>
      <c r="G22" s="6">
        <v>0</v>
      </c>
      <c r="H22" s="6">
        <v>0</v>
      </c>
      <c r="I22" s="6">
        <f t="shared" si="1"/>
        <v>71</v>
      </c>
      <c r="J22" s="7">
        <f t="shared" si="0"/>
        <v>0.004608205201430491</v>
      </c>
    </row>
    <row r="23" spans="1:12" ht="15">
      <c r="A23" s="59"/>
      <c r="B23" s="35" t="s">
        <v>11</v>
      </c>
      <c r="C23" s="35"/>
      <c r="D23" s="8"/>
      <c r="E23" s="35"/>
      <c r="F23" s="36">
        <f>SUM(F11:F22)</f>
        <v>8170</v>
      </c>
      <c r="G23" s="36">
        <f>SUM(G11:G22)</f>
        <v>0</v>
      </c>
      <c r="H23" s="36">
        <f>SUM(H11:H22)</f>
        <v>0</v>
      </c>
      <c r="I23" s="36">
        <f>SUM(I11:I22)</f>
        <v>8170</v>
      </c>
      <c r="J23" s="7">
        <f t="shared" si="0"/>
        <v>0.5302681196575649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37">
        <f aca="true" t="shared" si="3" ref="F24:I25">F11+F13+F15+F17+F19+F21</f>
        <v>4038</v>
      </c>
      <c r="G24" s="37">
        <f t="shared" si="3"/>
        <v>0</v>
      </c>
      <c r="H24" s="37">
        <f t="shared" si="3"/>
        <v>0</v>
      </c>
      <c r="I24" s="37">
        <f t="shared" si="3"/>
        <v>4038</v>
      </c>
      <c r="J24" s="7">
        <f t="shared" si="0"/>
        <v>0.2620835577940327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4132</v>
      </c>
      <c r="G25" s="19">
        <f t="shared" si="3"/>
        <v>0</v>
      </c>
      <c r="H25" s="19">
        <f t="shared" si="3"/>
        <v>0</v>
      </c>
      <c r="I25" s="19">
        <f t="shared" si="3"/>
        <v>4132</v>
      </c>
      <c r="J25" s="7">
        <f t="shared" si="0"/>
        <v>0.26818456186353223</v>
      </c>
    </row>
  </sheetData>
  <sheetProtection/>
  <mergeCells count="11">
    <mergeCell ref="J5:J6"/>
    <mergeCell ref="A11:A23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25"/>
  <sheetViews>
    <sheetView tabSelected="1" workbookViewId="0" topLeftCell="A1">
      <pane xSplit="5" ySplit="10" topLeftCell="F17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4" sqref="A4:J4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21.4218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27" t="s">
        <v>54</v>
      </c>
    </row>
    <row r="4" spans="1:10" ht="1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9.75" customHeight="1">
      <c r="A5" s="53" t="s">
        <v>0</v>
      </c>
      <c r="B5" s="55" t="s">
        <v>1</v>
      </c>
      <c r="C5" s="53" t="s">
        <v>2</v>
      </c>
      <c r="D5" s="57" t="s">
        <v>5</v>
      </c>
      <c r="E5" s="58"/>
      <c r="F5" s="53" t="s">
        <v>26</v>
      </c>
      <c r="G5" s="53" t="s">
        <v>27</v>
      </c>
      <c r="H5" s="53" t="s">
        <v>28</v>
      </c>
      <c r="I5" s="53" t="s">
        <v>3</v>
      </c>
      <c r="J5" s="55" t="s">
        <v>4</v>
      </c>
    </row>
    <row r="6" spans="1:10" ht="31.5" customHeight="1">
      <c r="A6" s="54"/>
      <c r="B6" s="56"/>
      <c r="C6" s="54"/>
      <c r="D6" s="28" t="s">
        <v>9</v>
      </c>
      <c r="E6" s="29" t="s">
        <v>10</v>
      </c>
      <c r="F6" s="54"/>
      <c r="G6" s="54"/>
      <c r="H6" s="54"/>
      <c r="I6" s="54"/>
      <c r="J6" s="56"/>
    </row>
    <row r="7" spans="1:12" ht="15">
      <c r="A7" s="30">
        <v>1</v>
      </c>
      <c r="B7" s="31" t="s">
        <v>37</v>
      </c>
      <c r="C7" s="30"/>
      <c r="D7" s="32"/>
      <c r="E7" s="33"/>
      <c r="F7" s="34">
        <f>14.19+43.25+31.16+8.98</f>
        <v>97.58</v>
      </c>
      <c r="G7" s="34">
        <f>G8*0.0478</f>
        <v>58.68019298000001</v>
      </c>
      <c r="H7" s="34">
        <v>0</v>
      </c>
      <c r="I7" s="6">
        <f>44.0064*0.0478</f>
        <v>2.10350592</v>
      </c>
      <c r="J7" s="7">
        <f aca="true" t="shared" si="0" ref="J7:J25">I7/15407.3</f>
        <v>0.00013652657636315253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169.88+495.74+374.37+90.04</f>
        <v>1130.03</v>
      </c>
      <c r="G8" s="6">
        <f>710.1581+331.791+185.67</f>
        <v>1227.6191000000001</v>
      </c>
      <c r="H8" s="6">
        <v>0</v>
      </c>
      <c r="I8" s="6">
        <f>F8-G8-H8</f>
        <v>-97.58910000000014</v>
      </c>
      <c r="J8" s="7">
        <f t="shared" si="0"/>
        <v>-0.006333952087646775</v>
      </c>
      <c r="L8" s="20"/>
    </row>
    <row r="9" spans="1:12" ht="15">
      <c r="A9" s="2">
        <v>3</v>
      </c>
      <c r="B9" s="3" t="s">
        <v>33</v>
      </c>
      <c r="C9" s="38" t="s">
        <v>53</v>
      </c>
      <c r="D9" s="5"/>
      <c r="E9" s="5"/>
      <c r="F9" s="6">
        <f>979.923+177+622+144</f>
        <v>1922.923</v>
      </c>
      <c r="G9" s="6">
        <f>485+454.271+111.76</f>
        <v>1051.031</v>
      </c>
      <c r="H9" s="6">
        <f>93</f>
        <v>93</v>
      </c>
      <c r="I9" s="6">
        <v>44.0064</v>
      </c>
      <c r="J9" s="7">
        <f t="shared" si="0"/>
        <v>0.002856204526425785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3052.953</v>
      </c>
      <c r="G10" s="6">
        <f>886+790.812+182.45+336.4981+34.22+98.65</f>
        <v>2328.6301</v>
      </c>
      <c r="H10" s="6">
        <f>H8+H9</f>
        <v>93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12</v>
      </c>
      <c r="C11" s="6"/>
      <c r="D11" s="11">
        <v>37161</v>
      </c>
      <c r="E11" s="11">
        <v>37436</v>
      </c>
      <c r="F11" s="7">
        <f>(E11-D11)*1</f>
        <v>275</v>
      </c>
      <c r="G11" s="6">
        <v>0</v>
      </c>
      <c r="H11" s="6">
        <v>0</v>
      </c>
      <c r="I11" s="6">
        <f aca="true" t="shared" si="1" ref="I11:I22">F11-G11-H11</f>
        <v>275</v>
      </c>
      <c r="J11" s="7">
        <f t="shared" si="0"/>
        <v>0.01784868211821669</v>
      </c>
    </row>
    <row r="12" spans="1:10" ht="15">
      <c r="A12" s="50"/>
      <c r="B12" s="3" t="s">
        <v>13</v>
      </c>
      <c r="C12" s="6"/>
      <c r="D12" s="11">
        <v>46964</v>
      </c>
      <c r="E12" s="11">
        <v>47300</v>
      </c>
      <c r="F12" s="7">
        <f>(E12-D12)*1</f>
        <v>336</v>
      </c>
      <c r="G12" s="6">
        <v>0</v>
      </c>
      <c r="H12" s="6">
        <v>0</v>
      </c>
      <c r="I12" s="6">
        <f t="shared" si="1"/>
        <v>336</v>
      </c>
      <c r="J12" s="7">
        <f t="shared" si="0"/>
        <v>0.02180784433353021</v>
      </c>
    </row>
    <row r="13" spans="1:10" ht="15">
      <c r="A13" s="50"/>
      <c r="B13" s="3" t="s">
        <v>14</v>
      </c>
      <c r="C13" s="6"/>
      <c r="D13" s="11">
        <v>79336</v>
      </c>
      <c r="E13" s="11">
        <v>80025</v>
      </c>
      <c r="F13" s="7">
        <f>(E13-D13)*1</f>
        <v>689</v>
      </c>
      <c r="G13" s="6">
        <v>0</v>
      </c>
      <c r="H13" s="6">
        <v>0</v>
      </c>
      <c r="I13" s="6">
        <f t="shared" si="1"/>
        <v>689</v>
      </c>
      <c r="J13" s="7">
        <f t="shared" si="0"/>
        <v>0.04471906174345927</v>
      </c>
    </row>
    <row r="14" spans="1:10" ht="15">
      <c r="A14" s="50"/>
      <c r="B14" s="3" t="s">
        <v>15</v>
      </c>
      <c r="C14" s="6"/>
      <c r="D14" s="11">
        <v>79991</v>
      </c>
      <c r="E14" s="11">
        <v>80700</v>
      </c>
      <c r="F14" s="7">
        <f>(E14-D14)*1</f>
        <v>709</v>
      </c>
      <c r="G14" s="6">
        <v>0</v>
      </c>
      <c r="H14" s="6">
        <v>0</v>
      </c>
      <c r="I14" s="6">
        <f t="shared" si="1"/>
        <v>709</v>
      </c>
      <c r="J14" s="7">
        <f t="shared" si="0"/>
        <v>0.046017147715693214</v>
      </c>
    </row>
    <row r="15" spans="1:10" ht="15">
      <c r="A15" s="50"/>
      <c r="B15" s="3" t="s">
        <v>17</v>
      </c>
      <c r="C15" s="6"/>
      <c r="D15" s="11">
        <v>9906</v>
      </c>
      <c r="E15" s="11">
        <v>9975</v>
      </c>
      <c r="F15" s="7">
        <f>(E15-D15)*20</f>
        <v>1380</v>
      </c>
      <c r="G15" s="6">
        <v>0</v>
      </c>
      <c r="H15" s="6">
        <v>0</v>
      </c>
      <c r="I15" s="6">
        <f t="shared" si="1"/>
        <v>1380</v>
      </c>
      <c r="J15" s="7">
        <f t="shared" si="0"/>
        <v>0.08956793208414193</v>
      </c>
    </row>
    <row r="16" spans="1:10" ht="15">
      <c r="A16" s="50"/>
      <c r="B16" s="3" t="s">
        <v>16</v>
      </c>
      <c r="C16" s="6"/>
      <c r="D16" s="11">
        <v>10523</v>
      </c>
      <c r="E16" s="11">
        <v>10589</v>
      </c>
      <c r="F16" s="7">
        <f>(E16-D16)*20</f>
        <v>1320</v>
      </c>
      <c r="G16" s="6">
        <v>0</v>
      </c>
      <c r="H16" s="6">
        <v>0</v>
      </c>
      <c r="I16" s="6">
        <f t="shared" si="1"/>
        <v>1320</v>
      </c>
      <c r="J16" s="7">
        <f t="shared" si="0"/>
        <v>0.08567367416744011</v>
      </c>
    </row>
    <row r="17" spans="1:10" ht="15">
      <c r="A17" s="50"/>
      <c r="B17" s="3" t="s">
        <v>18</v>
      </c>
      <c r="C17" s="6"/>
      <c r="D17" s="11">
        <v>103348</v>
      </c>
      <c r="E17" s="11">
        <v>104084</v>
      </c>
      <c r="F17" s="7">
        <f aca="true" t="shared" si="2" ref="F17:F22">(E17-D17)*1</f>
        <v>736</v>
      </c>
      <c r="G17" s="6">
        <v>0</v>
      </c>
      <c r="H17" s="6">
        <v>0</v>
      </c>
      <c r="I17" s="6">
        <f t="shared" si="1"/>
        <v>736</v>
      </c>
      <c r="J17" s="7">
        <f t="shared" si="0"/>
        <v>0.04776956377820903</v>
      </c>
    </row>
    <row r="18" spans="1:10" ht="15">
      <c r="A18" s="50"/>
      <c r="B18" s="3" t="s">
        <v>19</v>
      </c>
      <c r="C18" s="6"/>
      <c r="D18" s="11">
        <v>110744</v>
      </c>
      <c r="E18" s="11">
        <v>111456</v>
      </c>
      <c r="F18" s="7">
        <f t="shared" si="2"/>
        <v>712</v>
      </c>
      <c r="G18" s="6">
        <v>0</v>
      </c>
      <c r="H18" s="6">
        <v>0</v>
      </c>
      <c r="I18" s="6">
        <f t="shared" si="1"/>
        <v>712</v>
      </c>
      <c r="J18" s="7">
        <f t="shared" si="0"/>
        <v>0.0462118606115283</v>
      </c>
    </row>
    <row r="19" spans="1:10" ht="15">
      <c r="A19" s="50"/>
      <c r="B19" s="3" t="s">
        <v>20</v>
      </c>
      <c r="C19" s="6"/>
      <c r="D19" s="11">
        <v>53273</v>
      </c>
      <c r="E19" s="11">
        <v>53497</v>
      </c>
      <c r="F19" s="7">
        <f t="shared" si="2"/>
        <v>224</v>
      </c>
      <c r="G19" s="6">
        <v>0</v>
      </c>
      <c r="H19" s="6">
        <v>0</v>
      </c>
      <c r="I19" s="6">
        <f t="shared" si="1"/>
        <v>224</v>
      </c>
      <c r="J19" s="7">
        <f t="shared" si="0"/>
        <v>0.01453856288902014</v>
      </c>
    </row>
    <row r="20" spans="1:10" ht="15">
      <c r="A20" s="50"/>
      <c r="B20" s="3" t="s">
        <v>21</v>
      </c>
      <c r="C20" s="6"/>
      <c r="D20" s="11">
        <v>60329</v>
      </c>
      <c r="E20" s="11">
        <v>60581</v>
      </c>
      <c r="F20" s="7">
        <f t="shared" si="2"/>
        <v>252</v>
      </c>
      <c r="G20" s="6">
        <v>0</v>
      </c>
      <c r="H20" s="6">
        <v>0</v>
      </c>
      <c r="I20" s="6">
        <f t="shared" si="1"/>
        <v>252</v>
      </c>
      <c r="J20" s="7">
        <f t="shared" si="0"/>
        <v>0.016355883250147658</v>
      </c>
    </row>
    <row r="21" spans="1:10" ht="15">
      <c r="A21" s="50"/>
      <c r="B21" s="3" t="s">
        <v>22</v>
      </c>
      <c r="C21" s="6"/>
      <c r="D21" s="11">
        <v>14310</v>
      </c>
      <c r="E21" s="11">
        <v>14522</v>
      </c>
      <c r="F21" s="7">
        <f t="shared" si="2"/>
        <v>212</v>
      </c>
      <c r="G21" s="6">
        <v>0</v>
      </c>
      <c r="H21" s="6">
        <v>0</v>
      </c>
      <c r="I21" s="6">
        <f t="shared" si="1"/>
        <v>212</v>
      </c>
      <c r="J21" s="7">
        <f t="shared" si="0"/>
        <v>0.013759711305679776</v>
      </c>
    </row>
    <row r="22" spans="1:10" ht="15">
      <c r="A22" s="50"/>
      <c r="B22" s="3" t="s">
        <v>23</v>
      </c>
      <c r="C22" s="6"/>
      <c r="D22" s="11">
        <v>32274</v>
      </c>
      <c r="E22" s="11">
        <v>32580</v>
      </c>
      <c r="F22" s="7">
        <f t="shared" si="2"/>
        <v>306</v>
      </c>
      <c r="G22" s="6">
        <v>0</v>
      </c>
      <c r="H22" s="6">
        <v>0</v>
      </c>
      <c r="I22" s="6">
        <f t="shared" si="1"/>
        <v>306</v>
      </c>
      <c r="J22" s="7">
        <f t="shared" si="0"/>
        <v>0.0198607153751793</v>
      </c>
    </row>
    <row r="23" spans="1:12" ht="15">
      <c r="A23" s="59"/>
      <c r="B23" s="35" t="s">
        <v>11</v>
      </c>
      <c r="C23" s="35"/>
      <c r="D23" s="8"/>
      <c r="E23" s="35"/>
      <c r="F23" s="36">
        <f>SUM(F11:F22)</f>
        <v>7151</v>
      </c>
      <c r="G23" s="36">
        <f>SUM(G11:G22)</f>
        <v>0</v>
      </c>
      <c r="H23" s="36">
        <f>SUM(H11:H22)</f>
        <v>0</v>
      </c>
      <c r="I23" s="36">
        <f>SUM(I11:I22)</f>
        <v>7151</v>
      </c>
      <c r="J23" s="7">
        <f t="shared" si="0"/>
        <v>0.46413063937224563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37">
        <f aca="true" t="shared" si="3" ref="F24:I25">F11+F13+F15+F17+F19+F21</f>
        <v>3516</v>
      </c>
      <c r="G24" s="37">
        <f t="shared" si="3"/>
        <v>0</v>
      </c>
      <c r="H24" s="37">
        <f t="shared" si="3"/>
        <v>0</v>
      </c>
      <c r="I24" s="37">
        <f t="shared" si="3"/>
        <v>3516</v>
      </c>
      <c r="J24" s="7">
        <f t="shared" si="0"/>
        <v>0.22820351391872684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3635</v>
      </c>
      <c r="G25" s="19">
        <f t="shared" si="3"/>
        <v>0</v>
      </c>
      <c r="H25" s="19">
        <f t="shared" si="3"/>
        <v>0</v>
      </c>
      <c r="I25" s="19">
        <f t="shared" si="3"/>
        <v>3635</v>
      </c>
      <c r="J25" s="7">
        <f t="shared" si="0"/>
        <v>0.2359271254535188</v>
      </c>
    </row>
  </sheetData>
  <sheetProtection/>
  <mergeCells count="11">
    <mergeCell ref="I5:I6"/>
    <mergeCell ref="J5:J6"/>
    <mergeCell ref="A11:A23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8" sqref="B8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71093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31</v>
      </c>
    </row>
    <row r="4" spans="1:10" ht="15">
      <c r="A4" s="41" t="s">
        <v>6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69.75" customHeight="1">
      <c r="A5" s="44" t="s">
        <v>0</v>
      </c>
      <c r="B5" s="46" t="s">
        <v>1</v>
      </c>
      <c r="C5" s="44" t="s">
        <v>2</v>
      </c>
      <c r="D5" s="48" t="s">
        <v>5</v>
      </c>
      <c r="E5" s="49"/>
      <c r="F5" s="44" t="s">
        <v>26</v>
      </c>
      <c r="G5" s="44" t="s">
        <v>27</v>
      </c>
      <c r="H5" s="44" t="s">
        <v>28</v>
      </c>
      <c r="I5" s="44" t="s">
        <v>3</v>
      </c>
      <c r="J5" s="46" t="s">
        <v>4</v>
      </c>
    </row>
    <row r="6" spans="1:10" ht="31.5" customHeight="1">
      <c r="A6" s="45"/>
      <c r="B6" s="47"/>
      <c r="C6" s="45"/>
      <c r="D6" s="10" t="s">
        <v>9</v>
      </c>
      <c r="E6" s="4" t="s">
        <v>10</v>
      </c>
      <c r="F6" s="45"/>
      <c r="G6" s="45"/>
      <c r="H6" s="45"/>
      <c r="I6" s="45"/>
      <c r="J6" s="47"/>
    </row>
    <row r="7" spans="1:12" ht="15">
      <c r="A7" s="2">
        <v>1</v>
      </c>
      <c r="B7" s="3" t="s">
        <v>7</v>
      </c>
      <c r="C7" s="7"/>
      <c r="D7" s="5"/>
      <c r="E7" s="5"/>
      <c r="F7" s="7">
        <f>954.54</f>
        <v>954.54</v>
      </c>
      <c r="G7" s="6">
        <f>457.7868+496.962+273.56</f>
        <v>1228.3088</v>
      </c>
      <c r="H7" s="6">
        <v>0</v>
      </c>
      <c r="I7" s="6">
        <f aca="true" t="shared" si="0" ref="I7:I21">F7-G7-H7</f>
        <v>-273.76880000000006</v>
      </c>
      <c r="J7" s="7">
        <f aca="true" t="shared" si="1" ref="J7:J24">I7/15408.1</f>
        <v>-0.0177678493779246</v>
      </c>
      <c r="L7" s="20"/>
    </row>
    <row r="8" spans="1:12" ht="15">
      <c r="A8" s="2">
        <v>2</v>
      </c>
      <c r="B8" s="3" t="s">
        <v>33</v>
      </c>
      <c r="C8" s="6" t="s">
        <v>32</v>
      </c>
      <c r="D8" s="5"/>
      <c r="E8" s="5"/>
      <c r="F8" s="6">
        <v>2019</v>
      </c>
      <c r="G8" s="6">
        <f>553.6823+610.689+103.506</f>
        <v>1267.8773</v>
      </c>
      <c r="H8" s="6">
        <v>125</v>
      </c>
      <c r="I8" s="6">
        <f t="shared" si="0"/>
        <v>626.1226999999999</v>
      </c>
      <c r="J8" s="7">
        <f t="shared" si="1"/>
        <v>0.040635944730369085</v>
      </c>
      <c r="L8" s="20"/>
    </row>
    <row r="9" spans="1:12" ht="15">
      <c r="A9" s="2">
        <v>3</v>
      </c>
      <c r="B9" s="3" t="s">
        <v>8</v>
      </c>
      <c r="C9" s="6"/>
      <c r="D9" s="5"/>
      <c r="E9" s="5"/>
      <c r="F9" s="6">
        <f>F7+F8</f>
        <v>2973.54</v>
      </c>
      <c r="G9" s="6">
        <f>1011.469+1200.722+283.995</f>
        <v>2496.1859999999997</v>
      </c>
      <c r="H9" s="6">
        <f>H7+H8</f>
        <v>125</v>
      </c>
      <c r="I9" s="6">
        <f t="shared" si="0"/>
        <v>352.35400000000027</v>
      </c>
      <c r="J9" s="7">
        <f t="shared" si="1"/>
        <v>0.022868101842537382</v>
      </c>
      <c r="L9" s="20"/>
    </row>
    <row r="10" spans="1:10" ht="15">
      <c r="A10" s="39">
        <v>4</v>
      </c>
      <c r="B10" s="3" t="s">
        <v>12</v>
      </c>
      <c r="C10" s="6"/>
      <c r="D10" s="11">
        <v>34522</v>
      </c>
      <c r="E10" s="11">
        <v>34830</v>
      </c>
      <c r="F10" s="7">
        <f>(E10-D10)*1</f>
        <v>308</v>
      </c>
      <c r="G10" s="6">
        <v>0</v>
      </c>
      <c r="H10" s="6">
        <v>0</v>
      </c>
      <c r="I10" s="6">
        <f t="shared" si="0"/>
        <v>308</v>
      </c>
      <c r="J10" s="7">
        <f t="shared" si="1"/>
        <v>0.01998948604954537</v>
      </c>
    </row>
    <row r="11" spans="1:10" ht="15">
      <c r="A11" s="40"/>
      <c r="B11" s="3" t="s">
        <v>13</v>
      </c>
      <c r="C11" s="6"/>
      <c r="D11" s="11">
        <v>43653</v>
      </c>
      <c r="E11" s="11">
        <v>44042</v>
      </c>
      <c r="F11" s="7">
        <f>(E11-D11)*1</f>
        <v>389</v>
      </c>
      <c r="G11" s="6">
        <v>0</v>
      </c>
      <c r="H11" s="6">
        <v>0</v>
      </c>
      <c r="I11" s="6">
        <f t="shared" si="0"/>
        <v>389</v>
      </c>
      <c r="J11" s="7">
        <f t="shared" si="1"/>
        <v>0.025246461276860872</v>
      </c>
    </row>
    <row r="12" spans="1:10" ht="15">
      <c r="A12" s="40"/>
      <c r="B12" s="3" t="s">
        <v>14</v>
      </c>
      <c r="C12" s="6"/>
      <c r="D12" s="11">
        <v>72475</v>
      </c>
      <c r="E12" s="11">
        <v>73447</v>
      </c>
      <c r="F12" s="7">
        <f>(E12-D12)*1</f>
        <v>972</v>
      </c>
      <c r="G12" s="6">
        <v>0</v>
      </c>
      <c r="H12" s="6">
        <v>0</v>
      </c>
      <c r="I12" s="6">
        <f t="shared" si="0"/>
        <v>972</v>
      </c>
      <c r="J12" s="7">
        <f t="shared" si="1"/>
        <v>0.06308370272778603</v>
      </c>
    </row>
    <row r="13" spans="1:10" ht="15">
      <c r="A13" s="40"/>
      <c r="B13" s="3" t="s">
        <v>15</v>
      </c>
      <c r="C13" s="6"/>
      <c r="D13" s="11">
        <v>73710</v>
      </c>
      <c r="E13" s="11">
        <v>74640</v>
      </c>
      <c r="F13" s="7">
        <f>(E13-D13)*1</f>
        <v>930</v>
      </c>
      <c r="G13" s="6">
        <v>0</v>
      </c>
      <c r="H13" s="6">
        <v>0</v>
      </c>
      <c r="I13" s="6">
        <f t="shared" si="0"/>
        <v>930</v>
      </c>
      <c r="J13" s="7">
        <f t="shared" si="1"/>
        <v>0.060357863721029845</v>
      </c>
    </row>
    <row r="14" spans="1:10" ht="15">
      <c r="A14" s="12"/>
      <c r="B14" s="3" t="s">
        <v>17</v>
      </c>
      <c r="C14" s="13"/>
      <c r="D14" s="11">
        <v>9095</v>
      </c>
      <c r="E14" s="14">
        <v>9196</v>
      </c>
      <c r="F14" s="7">
        <f>(E14-D14)*20</f>
        <v>2020</v>
      </c>
      <c r="G14" s="6">
        <v>0</v>
      </c>
      <c r="H14" s="13">
        <v>0</v>
      </c>
      <c r="I14" s="6">
        <f t="shared" si="0"/>
        <v>2020</v>
      </c>
      <c r="J14" s="7">
        <f t="shared" si="1"/>
        <v>0.13109987603922613</v>
      </c>
    </row>
    <row r="15" spans="1:10" ht="15">
      <c r="A15" s="12"/>
      <c r="B15" s="3" t="s">
        <v>16</v>
      </c>
      <c r="C15" s="13"/>
      <c r="D15" s="11">
        <v>9646</v>
      </c>
      <c r="E15" s="14">
        <v>9748</v>
      </c>
      <c r="F15" s="7">
        <f>(E15-D15)*20</f>
        <v>2040</v>
      </c>
      <c r="G15" s="6">
        <v>0</v>
      </c>
      <c r="H15" s="13">
        <v>0</v>
      </c>
      <c r="I15" s="6">
        <f t="shared" si="0"/>
        <v>2040</v>
      </c>
      <c r="J15" s="7">
        <f t="shared" si="1"/>
        <v>0.1323978946138719</v>
      </c>
    </row>
    <row r="16" spans="1:10" ht="15">
      <c r="A16" s="12"/>
      <c r="B16" s="3" t="s">
        <v>18</v>
      </c>
      <c r="C16" s="13"/>
      <c r="D16" s="11">
        <v>94350</v>
      </c>
      <c r="E16" s="14">
        <v>95224</v>
      </c>
      <c r="F16" s="15">
        <f aca="true" t="shared" si="2" ref="F16:F21">(E16-D16)*1</f>
        <v>874</v>
      </c>
      <c r="G16" s="6">
        <v>0</v>
      </c>
      <c r="H16" s="13">
        <v>0</v>
      </c>
      <c r="I16" s="6">
        <f t="shared" si="0"/>
        <v>874</v>
      </c>
      <c r="J16" s="7">
        <f t="shared" si="1"/>
        <v>0.056723411712021596</v>
      </c>
    </row>
    <row r="17" spans="1:10" ht="15">
      <c r="A17" s="12"/>
      <c r="B17" s="3" t="s">
        <v>19</v>
      </c>
      <c r="C17" s="13"/>
      <c r="D17" s="11">
        <v>101995</v>
      </c>
      <c r="E17" s="14">
        <v>102799</v>
      </c>
      <c r="F17" s="15">
        <f t="shared" si="2"/>
        <v>804</v>
      </c>
      <c r="G17" s="6">
        <v>0</v>
      </c>
      <c r="H17" s="13">
        <v>0</v>
      </c>
      <c r="I17" s="6">
        <f t="shared" si="0"/>
        <v>804</v>
      </c>
      <c r="J17" s="7">
        <f t="shared" si="1"/>
        <v>0.052180346700761285</v>
      </c>
    </row>
    <row r="18" spans="1:10" ht="15">
      <c r="A18" s="12"/>
      <c r="B18" s="3" t="s">
        <v>20</v>
      </c>
      <c r="C18" s="13"/>
      <c r="D18" s="11">
        <v>51080</v>
      </c>
      <c r="E18" s="14">
        <v>51436</v>
      </c>
      <c r="F18" s="15">
        <f t="shared" si="2"/>
        <v>356</v>
      </c>
      <c r="G18" s="6">
        <v>0</v>
      </c>
      <c r="H18" s="13">
        <v>0</v>
      </c>
      <c r="I18" s="6">
        <f t="shared" si="0"/>
        <v>356</v>
      </c>
      <c r="J18" s="7">
        <f t="shared" si="1"/>
        <v>0.023104730628695298</v>
      </c>
    </row>
    <row r="19" spans="1:10" ht="15">
      <c r="A19" s="12"/>
      <c r="B19" s="3" t="s">
        <v>21</v>
      </c>
      <c r="C19" s="13"/>
      <c r="D19" s="11">
        <v>57508</v>
      </c>
      <c r="E19" s="14">
        <v>57937</v>
      </c>
      <c r="F19" s="15">
        <f t="shared" si="2"/>
        <v>429</v>
      </c>
      <c r="G19" s="6">
        <v>0</v>
      </c>
      <c r="H19" s="13">
        <v>0</v>
      </c>
      <c r="I19" s="6">
        <f t="shared" si="0"/>
        <v>429</v>
      </c>
      <c r="J19" s="7">
        <f t="shared" si="1"/>
        <v>0.027842498426152478</v>
      </c>
    </row>
    <row r="20" spans="1:10" ht="15">
      <c r="A20" s="12"/>
      <c r="B20" s="3" t="s">
        <v>22</v>
      </c>
      <c r="C20" s="13"/>
      <c r="D20" s="11">
        <v>12983</v>
      </c>
      <c r="E20" s="14">
        <v>13196</v>
      </c>
      <c r="F20" s="15">
        <f t="shared" si="2"/>
        <v>213</v>
      </c>
      <c r="G20" s="6">
        <v>0</v>
      </c>
      <c r="H20" s="13">
        <v>0</v>
      </c>
      <c r="I20" s="6">
        <f t="shared" si="0"/>
        <v>213</v>
      </c>
      <c r="J20" s="7">
        <f t="shared" si="1"/>
        <v>0.013823897819977804</v>
      </c>
    </row>
    <row r="21" spans="1:10" ht="15">
      <c r="A21" s="12"/>
      <c r="B21" s="3" t="s">
        <v>23</v>
      </c>
      <c r="C21" s="13"/>
      <c r="D21" s="11">
        <v>29131</v>
      </c>
      <c r="E21" s="14">
        <v>29450</v>
      </c>
      <c r="F21" s="15">
        <f t="shared" si="2"/>
        <v>319</v>
      </c>
      <c r="G21" s="6">
        <v>0</v>
      </c>
      <c r="H21" s="13">
        <v>0</v>
      </c>
      <c r="I21" s="6">
        <f t="shared" si="0"/>
        <v>319</v>
      </c>
      <c r="J21" s="7">
        <f t="shared" si="1"/>
        <v>0.02070339626560056</v>
      </c>
    </row>
    <row r="22" spans="1:10" ht="15">
      <c r="A22" s="16"/>
      <c r="B22" s="16" t="s">
        <v>11</v>
      </c>
      <c r="C22" s="16"/>
      <c r="D22" s="8"/>
      <c r="E22" s="16"/>
      <c r="F22" s="17">
        <f>SUM(F10:F21)</f>
        <v>9654</v>
      </c>
      <c r="G22" s="17">
        <f>SUM(G10:G21)</f>
        <v>0</v>
      </c>
      <c r="H22" s="17">
        <f>SUM(H10:H21)</f>
        <v>0</v>
      </c>
      <c r="I22" s="17">
        <f>SUM(I10:I21)</f>
        <v>9654</v>
      </c>
      <c r="J22" s="7">
        <f t="shared" si="1"/>
        <v>0.6265535659815292</v>
      </c>
    </row>
    <row r="23" spans="1:12" ht="15">
      <c r="A23" s="1"/>
      <c r="B23" s="1"/>
      <c r="C23" s="1"/>
      <c r="D23" s="1"/>
      <c r="E23" s="1" t="s">
        <v>24</v>
      </c>
      <c r="F23" s="18">
        <f aca="true" t="shared" si="3" ref="F23:I24">F10+F12+F14+F16+F18+F20</f>
        <v>4743</v>
      </c>
      <c r="G23" s="18">
        <f t="shared" si="3"/>
        <v>0</v>
      </c>
      <c r="H23" s="18">
        <f t="shared" si="3"/>
        <v>0</v>
      </c>
      <c r="I23" s="18">
        <f t="shared" si="3"/>
        <v>4743</v>
      </c>
      <c r="J23" s="7">
        <f t="shared" si="1"/>
        <v>0.30782510497725224</v>
      </c>
      <c r="K23" s="21"/>
      <c r="L23" s="20"/>
    </row>
    <row r="24" spans="1:12" ht="15">
      <c r="A24" s="1"/>
      <c r="B24" s="1"/>
      <c r="C24" s="1"/>
      <c r="D24" s="1"/>
      <c r="E24" s="1" t="s">
        <v>25</v>
      </c>
      <c r="F24" s="19">
        <f t="shared" si="3"/>
        <v>4911</v>
      </c>
      <c r="G24" s="19">
        <f t="shared" si="3"/>
        <v>0</v>
      </c>
      <c r="H24" s="19">
        <f t="shared" si="3"/>
        <v>0</v>
      </c>
      <c r="I24" s="19">
        <f t="shared" si="3"/>
        <v>4911</v>
      </c>
      <c r="J24" s="7">
        <f t="shared" si="1"/>
        <v>0.318728461004277</v>
      </c>
      <c r="K24" s="21"/>
      <c r="L24" s="20"/>
    </row>
  </sheetData>
  <sheetProtection/>
  <mergeCells count="11">
    <mergeCell ref="I5:I6"/>
    <mergeCell ref="J5:J6"/>
    <mergeCell ref="A10:A13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pane xSplit="5" ySplit="10" topLeftCell="G1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21" sqref="J21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71093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34</v>
      </c>
    </row>
    <row r="4" spans="1:10" ht="15">
      <c r="A4" s="41" t="s">
        <v>6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69.75" customHeight="1">
      <c r="A5" s="44" t="s">
        <v>0</v>
      </c>
      <c r="B5" s="46" t="s">
        <v>1</v>
      </c>
      <c r="C5" s="44" t="s">
        <v>2</v>
      </c>
      <c r="D5" s="48" t="s">
        <v>5</v>
      </c>
      <c r="E5" s="49"/>
      <c r="F5" s="44" t="s">
        <v>26</v>
      </c>
      <c r="G5" s="44" t="s">
        <v>27</v>
      </c>
      <c r="H5" s="44" t="s">
        <v>28</v>
      </c>
      <c r="I5" s="44" t="s">
        <v>3</v>
      </c>
      <c r="J5" s="46" t="s">
        <v>4</v>
      </c>
    </row>
    <row r="6" spans="1:10" ht="31.5" customHeight="1">
      <c r="A6" s="45"/>
      <c r="B6" s="47"/>
      <c r="C6" s="45"/>
      <c r="D6" s="10" t="s">
        <v>9</v>
      </c>
      <c r="E6" s="4" t="s">
        <v>10</v>
      </c>
      <c r="F6" s="45"/>
      <c r="G6" s="45"/>
      <c r="H6" s="45"/>
      <c r="I6" s="45"/>
      <c r="J6" s="47"/>
    </row>
    <row r="7" spans="1:12" ht="15">
      <c r="A7" s="2">
        <v>1</v>
      </c>
      <c r="B7" s="3" t="s">
        <v>7</v>
      </c>
      <c r="C7" s="7"/>
      <c r="D7" s="5"/>
      <c r="E7" s="5"/>
      <c r="F7" s="7">
        <f>1034.79</f>
        <v>1034.79</v>
      </c>
      <c r="G7" s="6">
        <f>464.2243+708.32+29.79</f>
        <v>1202.3343</v>
      </c>
      <c r="H7" s="6">
        <v>0</v>
      </c>
      <c r="I7" s="6">
        <f aca="true" t="shared" si="0" ref="I7:I21">F7-G7-H7</f>
        <v>-167.54430000000002</v>
      </c>
      <c r="J7" s="7">
        <f>I7/15408</f>
        <v>-0.01087385124610592</v>
      </c>
      <c r="L7" s="20"/>
    </row>
    <row r="8" spans="1:12" ht="15">
      <c r="A8" s="2">
        <v>2</v>
      </c>
      <c r="B8" s="3" t="s">
        <v>33</v>
      </c>
      <c r="C8" s="6" t="s">
        <v>35</v>
      </c>
      <c r="D8" s="5"/>
      <c r="E8" s="5"/>
      <c r="F8" s="6">
        <v>1594</v>
      </c>
      <c r="G8" s="6">
        <f>561.4683+902.06+35.1</f>
        <v>1498.6282999999999</v>
      </c>
      <c r="H8" s="6">
        <v>160</v>
      </c>
      <c r="I8" s="6">
        <f t="shared" si="0"/>
        <v>-64.62829999999985</v>
      </c>
      <c r="J8" s="7">
        <f aca="true" t="shared" si="1" ref="J8:J24">I8/15408</f>
        <v>-0.004194463914849419</v>
      </c>
      <c r="L8" s="20"/>
    </row>
    <row r="9" spans="1:12" ht="15">
      <c r="A9" s="2">
        <v>3</v>
      </c>
      <c r="B9" s="3" t="s">
        <v>8</v>
      </c>
      <c r="C9" s="6"/>
      <c r="D9" s="5"/>
      <c r="E9" s="5"/>
      <c r="F9" s="6">
        <f>F7+F8</f>
        <v>2628.79</v>
      </c>
      <c r="G9" s="6">
        <f>1025.6927+1622.73+52.54</f>
        <v>2700.9627</v>
      </c>
      <c r="H9" s="6">
        <f>H7+H8</f>
        <v>160</v>
      </c>
      <c r="I9" s="6">
        <f t="shared" si="0"/>
        <v>-232.17270000000008</v>
      </c>
      <c r="J9" s="7">
        <f t="shared" si="1"/>
        <v>-0.015068321651090347</v>
      </c>
      <c r="L9" s="20"/>
    </row>
    <row r="10" spans="1:10" ht="15">
      <c r="A10" s="39">
        <v>4</v>
      </c>
      <c r="B10" s="3" t="s">
        <v>12</v>
      </c>
      <c r="C10" s="6"/>
      <c r="D10" s="11">
        <v>34830</v>
      </c>
      <c r="E10" s="11">
        <v>35062</v>
      </c>
      <c r="F10" s="7">
        <f>(E10-D10)*1</f>
        <v>232</v>
      </c>
      <c r="G10" s="6">
        <v>0</v>
      </c>
      <c r="H10" s="6">
        <v>0</v>
      </c>
      <c r="I10" s="6">
        <f t="shared" si="0"/>
        <v>232</v>
      </c>
      <c r="J10" s="7">
        <f t="shared" si="1"/>
        <v>0.015057113187954309</v>
      </c>
    </row>
    <row r="11" spans="1:10" ht="15">
      <c r="A11" s="40"/>
      <c r="B11" s="3" t="s">
        <v>13</v>
      </c>
      <c r="C11" s="6"/>
      <c r="D11" s="11">
        <v>44042</v>
      </c>
      <c r="E11" s="11">
        <v>44340</v>
      </c>
      <c r="F11" s="7">
        <f>(E11-D11)*1</f>
        <v>298</v>
      </c>
      <c r="G11" s="6">
        <v>0</v>
      </c>
      <c r="H11" s="6">
        <v>0</v>
      </c>
      <c r="I11" s="6">
        <f t="shared" si="0"/>
        <v>298</v>
      </c>
      <c r="J11" s="7">
        <f t="shared" si="1"/>
        <v>0.019340602284527518</v>
      </c>
    </row>
    <row r="12" spans="1:10" ht="15">
      <c r="A12" s="40"/>
      <c r="B12" s="3" t="s">
        <v>14</v>
      </c>
      <c r="C12" s="6"/>
      <c r="D12" s="11">
        <v>73447</v>
      </c>
      <c r="E12" s="11">
        <v>74183</v>
      </c>
      <c r="F12" s="7">
        <f>(E12-D12)*1</f>
        <v>736</v>
      </c>
      <c r="G12" s="6">
        <v>0</v>
      </c>
      <c r="H12" s="6">
        <v>0</v>
      </c>
      <c r="I12" s="6">
        <f t="shared" si="0"/>
        <v>736</v>
      </c>
      <c r="J12" s="7">
        <f t="shared" si="1"/>
        <v>0.04776739356178609</v>
      </c>
    </row>
    <row r="13" spans="1:10" ht="15">
      <c r="A13" s="40"/>
      <c r="B13" s="3" t="s">
        <v>15</v>
      </c>
      <c r="C13" s="6"/>
      <c r="D13" s="11">
        <v>74640</v>
      </c>
      <c r="E13" s="11">
        <v>75376</v>
      </c>
      <c r="F13" s="7">
        <f>(E13-D13)*1</f>
        <v>736</v>
      </c>
      <c r="G13" s="6">
        <v>0</v>
      </c>
      <c r="H13" s="6">
        <v>0</v>
      </c>
      <c r="I13" s="6">
        <f t="shared" si="0"/>
        <v>736</v>
      </c>
      <c r="J13" s="7">
        <f t="shared" si="1"/>
        <v>0.04776739356178609</v>
      </c>
    </row>
    <row r="14" spans="1:10" ht="15">
      <c r="A14" s="12"/>
      <c r="B14" s="3" t="s">
        <v>17</v>
      </c>
      <c r="C14" s="13"/>
      <c r="D14" s="11">
        <v>9196</v>
      </c>
      <c r="E14" s="14">
        <v>9284</v>
      </c>
      <c r="F14" s="7">
        <f>(E14-D14)*20</f>
        <v>1760</v>
      </c>
      <c r="G14" s="6">
        <v>0</v>
      </c>
      <c r="H14" s="13">
        <v>0</v>
      </c>
      <c r="I14" s="6">
        <f t="shared" si="0"/>
        <v>1760</v>
      </c>
      <c r="J14" s="7">
        <f t="shared" si="1"/>
        <v>0.1142263759086189</v>
      </c>
    </row>
    <row r="15" spans="1:10" ht="15">
      <c r="A15" s="12"/>
      <c r="B15" s="3" t="s">
        <v>16</v>
      </c>
      <c r="C15" s="13"/>
      <c r="D15" s="11">
        <v>9748</v>
      </c>
      <c r="E15" s="14">
        <v>9836</v>
      </c>
      <c r="F15" s="7">
        <f>(E15-D15)*20</f>
        <v>1760</v>
      </c>
      <c r="G15" s="6">
        <v>0</v>
      </c>
      <c r="H15" s="13">
        <v>0</v>
      </c>
      <c r="I15" s="6">
        <f t="shared" si="0"/>
        <v>1760</v>
      </c>
      <c r="J15" s="7">
        <f t="shared" si="1"/>
        <v>0.1142263759086189</v>
      </c>
    </row>
    <row r="16" spans="1:10" ht="15">
      <c r="A16" s="12"/>
      <c r="B16" s="3" t="s">
        <v>18</v>
      </c>
      <c r="C16" s="13"/>
      <c r="D16" s="11">
        <v>95224</v>
      </c>
      <c r="E16" s="14">
        <v>95950</v>
      </c>
      <c r="F16" s="15">
        <f aca="true" t="shared" si="2" ref="F16:F21">(E16-D16)*1</f>
        <v>726</v>
      </c>
      <c r="G16" s="6">
        <v>0</v>
      </c>
      <c r="H16" s="13">
        <v>0</v>
      </c>
      <c r="I16" s="6">
        <f t="shared" si="0"/>
        <v>726</v>
      </c>
      <c r="J16" s="7">
        <f t="shared" si="1"/>
        <v>0.047118380062305294</v>
      </c>
    </row>
    <row r="17" spans="1:10" ht="15">
      <c r="A17" s="12"/>
      <c r="B17" s="3" t="s">
        <v>19</v>
      </c>
      <c r="C17" s="13"/>
      <c r="D17" s="11">
        <v>102799</v>
      </c>
      <c r="E17" s="14">
        <v>103410</v>
      </c>
      <c r="F17" s="15">
        <f t="shared" si="2"/>
        <v>611</v>
      </c>
      <c r="G17" s="6">
        <v>0</v>
      </c>
      <c r="H17" s="13">
        <v>0</v>
      </c>
      <c r="I17" s="6">
        <f t="shared" si="0"/>
        <v>611</v>
      </c>
      <c r="J17" s="7">
        <f t="shared" si="1"/>
        <v>0.03965472481827622</v>
      </c>
    </row>
    <row r="18" spans="1:10" ht="15">
      <c r="A18" s="12"/>
      <c r="B18" s="3" t="s">
        <v>20</v>
      </c>
      <c r="C18" s="13"/>
      <c r="D18" s="11">
        <v>51436</v>
      </c>
      <c r="E18" s="14">
        <v>51680</v>
      </c>
      <c r="F18" s="15">
        <f t="shared" si="2"/>
        <v>244</v>
      </c>
      <c r="G18" s="6">
        <v>0</v>
      </c>
      <c r="H18" s="13">
        <v>0</v>
      </c>
      <c r="I18" s="6">
        <f t="shared" si="0"/>
        <v>244</v>
      </c>
      <c r="J18" s="7">
        <f t="shared" si="1"/>
        <v>0.015835929387331256</v>
      </c>
    </row>
    <row r="19" spans="1:10" ht="15">
      <c r="A19" s="12"/>
      <c r="B19" s="3" t="s">
        <v>21</v>
      </c>
      <c r="C19" s="13"/>
      <c r="D19" s="11">
        <v>57937</v>
      </c>
      <c r="E19" s="14">
        <v>58230</v>
      </c>
      <c r="F19" s="15">
        <f t="shared" si="2"/>
        <v>293</v>
      </c>
      <c r="G19" s="6">
        <v>0</v>
      </c>
      <c r="H19" s="13">
        <v>0</v>
      </c>
      <c r="I19" s="6">
        <f t="shared" si="0"/>
        <v>293</v>
      </c>
      <c r="J19" s="7">
        <f t="shared" si="1"/>
        <v>0.019016095534787125</v>
      </c>
    </row>
    <row r="20" spans="1:10" ht="15">
      <c r="A20" s="12"/>
      <c r="B20" s="3" t="s">
        <v>22</v>
      </c>
      <c r="C20" s="13"/>
      <c r="D20" s="11">
        <v>13196</v>
      </c>
      <c r="E20" s="14">
        <v>13330</v>
      </c>
      <c r="F20" s="15">
        <f t="shared" si="2"/>
        <v>134</v>
      </c>
      <c r="G20" s="6">
        <v>0</v>
      </c>
      <c r="H20" s="13">
        <v>0</v>
      </c>
      <c r="I20" s="6">
        <f t="shared" si="0"/>
        <v>134</v>
      </c>
      <c r="J20" s="7">
        <f t="shared" si="1"/>
        <v>0.008696780893042575</v>
      </c>
    </row>
    <row r="21" spans="1:10" ht="15">
      <c r="A21" s="12"/>
      <c r="B21" s="3" t="s">
        <v>23</v>
      </c>
      <c r="C21" s="13"/>
      <c r="D21" s="11">
        <v>29450</v>
      </c>
      <c r="E21" s="14">
        <v>29670</v>
      </c>
      <c r="F21" s="15">
        <f t="shared" si="2"/>
        <v>220</v>
      </c>
      <c r="G21" s="6">
        <v>0</v>
      </c>
      <c r="H21" s="13">
        <v>0</v>
      </c>
      <c r="I21" s="6">
        <f t="shared" si="0"/>
        <v>220</v>
      </c>
      <c r="J21" s="7">
        <f t="shared" si="1"/>
        <v>0.014278296988577362</v>
      </c>
    </row>
    <row r="22" spans="1:10" ht="15">
      <c r="A22" s="16"/>
      <c r="B22" s="16" t="s">
        <v>11</v>
      </c>
      <c r="C22" s="16"/>
      <c r="D22" s="8"/>
      <c r="E22" s="16"/>
      <c r="F22" s="17">
        <f>SUM(F10:F21)</f>
        <v>7750</v>
      </c>
      <c r="G22" s="17">
        <f>SUM(G10:G21)</f>
        <v>0</v>
      </c>
      <c r="H22" s="17">
        <f>SUM(H10:H21)</f>
        <v>0</v>
      </c>
      <c r="I22" s="17">
        <f>SUM(I10:I21)</f>
        <v>7750</v>
      </c>
      <c r="J22" s="7">
        <f t="shared" si="1"/>
        <v>0.5029854620976116</v>
      </c>
    </row>
    <row r="23" spans="1:12" ht="15">
      <c r="A23" s="1"/>
      <c r="B23" s="1"/>
      <c r="C23" s="1"/>
      <c r="D23" s="1"/>
      <c r="E23" s="1" t="s">
        <v>24</v>
      </c>
      <c r="F23" s="18">
        <f aca="true" t="shared" si="3" ref="F23:I24">F10+F12+F14+F16+F18+F20</f>
        <v>3832</v>
      </c>
      <c r="G23" s="18">
        <f t="shared" si="3"/>
        <v>0</v>
      </c>
      <c r="H23" s="18">
        <f t="shared" si="3"/>
        <v>0</v>
      </c>
      <c r="I23" s="18">
        <f t="shared" si="3"/>
        <v>3832</v>
      </c>
      <c r="J23" s="7">
        <f t="shared" si="1"/>
        <v>0.2487019730010384</v>
      </c>
      <c r="K23" s="21"/>
      <c r="L23" s="20"/>
    </row>
    <row r="24" spans="1:12" ht="15">
      <c r="A24" s="1"/>
      <c r="B24" s="1"/>
      <c r="C24" s="1"/>
      <c r="D24" s="1"/>
      <c r="E24" s="1" t="s">
        <v>25</v>
      </c>
      <c r="F24" s="19">
        <f t="shared" si="3"/>
        <v>3918</v>
      </c>
      <c r="G24" s="19">
        <f t="shared" si="3"/>
        <v>0</v>
      </c>
      <c r="H24" s="19">
        <f t="shared" si="3"/>
        <v>0</v>
      </c>
      <c r="I24" s="19">
        <f t="shared" si="3"/>
        <v>3918</v>
      </c>
      <c r="J24" s="7">
        <f t="shared" si="1"/>
        <v>0.2542834890965732</v>
      </c>
      <c r="K24" s="21"/>
      <c r="L24" s="20"/>
    </row>
  </sheetData>
  <sheetProtection/>
  <mergeCells count="11">
    <mergeCell ref="H5:H6"/>
    <mergeCell ref="I5:I6"/>
    <mergeCell ref="J5:J6"/>
    <mergeCell ref="A10:A13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5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3" sqref="A3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71093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9" t="s">
        <v>36</v>
      </c>
    </row>
    <row r="4" spans="1:10" ht="15">
      <c r="A4" s="41" t="s">
        <v>6</v>
      </c>
      <c r="B4" s="42"/>
      <c r="C4" s="42"/>
      <c r="D4" s="42"/>
      <c r="E4" s="42"/>
      <c r="F4" s="42"/>
      <c r="G4" s="42"/>
      <c r="H4" s="42"/>
      <c r="I4" s="42"/>
      <c r="J4" s="43"/>
    </row>
    <row r="5" spans="1:10" ht="69.75" customHeight="1">
      <c r="A5" s="44" t="s">
        <v>0</v>
      </c>
      <c r="B5" s="46" t="s">
        <v>1</v>
      </c>
      <c r="C5" s="44" t="s">
        <v>2</v>
      </c>
      <c r="D5" s="48" t="s">
        <v>5</v>
      </c>
      <c r="E5" s="49"/>
      <c r="F5" s="44" t="s">
        <v>26</v>
      </c>
      <c r="G5" s="44" t="s">
        <v>27</v>
      </c>
      <c r="H5" s="44" t="s">
        <v>28</v>
      </c>
      <c r="I5" s="44" t="s">
        <v>3</v>
      </c>
      <c r="J5" s="46" t="s">
        <v>4</v>
      </c>
    </row>
    <row r="6" spans="1:10" ht="31.5" customHeight="1">
      <c r="A6" s="45"/>
      <c r="B6" s="47"/>
      <c r="C6" s="45"/>
      <c r="D6" s="10" t="s">
        <v>9</v>
      </c>
      <c r="E6" s="4" t="s">
        <v>10</v>
      </c>
      <c r="F6" s="45"/>
      <c r="G6" s="45"/>
      <c r="H6" s="45"/>
      <c r="I6" s="45"/>
      <c r="J6" s="47"/>
    </row>
    <row r="7" spans="1:12" ht="15">
      <c r="A7" s="22">
        <v>1</v>
      </c>
      <c r="B7" s="23" t="s">
        <v>37</v>
      </c>
      <c r="C7" s="22"/>
      <c r="D7" s="24"/>
      <c r="E7" s="25"/>
      <c r="F7" s="22">
        <f>83.47</f>
        <v>83.47</v>
      </c>
      <c r="G7" s="26">
        <f>1209.66*0.1917/4.01</f>
        <v>57.828384538653374</v>
      </c>
      <c r="H7" s="26">
        <v>0</v>
      </c>
      <c r="I7" s="6">
        <f>F7-G7-H7</f>
        <v>25.641615461346625</v>
      </c>
      <c r="J7" s="7">
        <f aca="true" t="shared" si="0" ref="J7:J25">I7/15408</f>
        <v>0.0016641754582909284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928.65</f>
        <v>928.65</v>
      </c>
      <c r="G8" s="6">
        <f>461.15+661.91+86.6</f>
        <v>1209.6599999999999</v>
      </c>
      <c r="H8" s="6">
        <v>0</v>
      </c>
      <c r="I8" s="6">
        <f aca="true" t="shared" si="1" ref="I8:I22">F8-G8-H8</f>
        <v>-281.0099999999999</v>
      </c>
      <c r="J8" s="7">
        <f t="shared" si="0"/>
        <v>-0.018237928348909648</v>
      </c>
      <c r="L8" s="20"/>
    </row>
    <row r="9" spans="1:12" ht="15">
      <c r="A9" s="2">
        <v>3</v>
      </c>
      <c r="B9" s="3" t="s">
        <v>33</v>
      </c>
      <c r="C9" s="6" t="s">
        <v>38</v>
      </c>
      <c r="D9" s="5"/>
      <c r="E9" s="5"/>
      <c r="F9" s="6">
        <f>1639+118</f>
        <v>1757</v>
      </c>
      <c r="G9" s="6">
        <f>557.75+871.59+55.58</f>
        <v>1484.92</v>
      </c>
      <c r="H9" s="6">
        <v>100</v>
      </c>
      <c r="I9" s="6">
        <f t="shared" si="1"/>
        <v>172.07999999999993</v>
      </c>
      <c r="J9" s="7">
        <f t="shared" si="0"/>
        <v>0.011168224299065416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2685.65</v>
      </c>
      <c r="G10" s="6">
        <f>1018.9+1557.36+118.32</f>
        <v>2694.58</v>
      </c>
      <c r="H10" s="6">
        <f>H8+H9</f>
        <v>100</v>
      </c>
      <c r="I10" s="6">
        <f t="shared" si="1"/>
        <v>-108.92999999999984</v>
      </c>
      <c r="J10" s="7">
        <f t="shared" si="0"/>
        <v>-0.007069704049844226</v>
      </c>
    </row>
    <row r="11" spans="1:10" ht="15">
      <c r="A11" s="39">
        <v>5</v>
      </c>
      <c r="B11" s="3" t="s">
        <v>12</v>
      </c>
      <c r="C11" s="6"/>
      <c r="D11" s="11">
        <v>35062</v>
      </c>
      <c r="E11" s="11">
        <v>35326</v>
      </c>
      <c r="F11" s="7">
        <f>(E11-D11)*1</f>
        <v>264</v>
      </c>
      <c r="G11" s="6">
        <v>0</v>
      </c>
      <c r="H11" s="6">
        <v>0</v>
      </c>
      <c r="I11" s="6">
        <f t="shared" si="1"/>
        <v>264</v>
      </c>
      <c r="J11" s="7">
        <f t="shared" si="0"/>
        <v>0.017133956386292833</v>
      </c>
    </row>
    <row r="12" spans="1:10" ht="15">
      <c r="A12" s="40"/>
      <c r="B12" s="3" t="s">
        <v>13</v>
      </c>
      <c r="C12" s="6"/>
      <c r="D12" s="11">
        <v>44340</v>
      </c>
      <c r="E12" s="11">
        <v>44737</v>
      </c>
      <c r="F12" s="7">
        <f>(E12-D12)*1</f>
        <v>397</v>
      </c>
      <c r="G12" s="6">
        <v>0</v>
      </c>
      <c r="H12" s="6">
        <v>0</v>
      </c>
      <c r="I12" s="6">
        <f t="shared" si="1"/>
        <v>397</v>
      </c>
      <c r="J12" s="7">
        <f t="shared" si="0"/>
        <v>0.025765835929387332</v>
      </c>
    </row>
    <row r="13" spans="1:10" ht="15">
      <c r="A13" s="40"/>
      <c r="B13" s="3" t="s">
        <v>14</v>
      </c>
      <c r="C13" s="6"/>
      <c r="D13" s="11">
        <v>74183</v>
      </c>
      <c r="E13" s="11">
        <v>74961</v>
      </c>
      <c r="F13" s="7">
        <f>(E13-D13)*1</f>
        <v>778</v>
      </c>
      <c r="G13" s="6">
        <v>0</v>
      </c>
      <c r="H13" s="6">
        <v>0</v>
      </c>
      <c r="I13" s="6">
        <f t="shared" si="1"/>
        <v>778</v>
      </c>
      <c r="J13" s="7">
        <f t="shared" si="0"/>
        <v>0.0504932502596054</v>
      </c>
    </row>
    <row r="14" spans="1:10" ht="15">
      <c r="A14" s="40"/>
      <c r="B14" s="3" t="s">
        <v>15</v>
      </c>
      <c r="C14" s="6"/>
      <c r="D14" s="11">
        <v>75376</v>
      </c>
      <c r="E14" s="11">
        <v>76331</v>
      </c>
      <c r="F14" s="7">
        <f>(E14-D14)*1</f>
        <v>955</v>
      </c>
      <c r="G14" s="6">
        <v>0</v>
      </c>
      <c r="H14" s="6">
        <v>0</v>
      </c>
      <c r="I14" s="6">
        <f t="shared" si="1"/>
        <v>955</v>
      </c>
      <c r="J14" s="7">
        <f t="shared" si="0"/>
        <v>0.061980789200415366</v>
      </c>
    </row>
    <row r="15" spans="1:10" ht="15">
      <c r="A15" s="50"/>
      <c r="B15" s="3" t="s">
        <v>17</v>
      </c>
      <c r="C15" s="13"/>
      <c r="D15" s="11">
        <v>9284</v>
      </c>
      <c r="E15" s="14">
        <v>9382</v>
      </c>
      <c r="F15" s="7">
        <f>(E15-D15)*20</f>
        <v>1960</v>
      </c>
      <c r="G15" s="6">
        <v>0</v>
      </c>
      <c r="H15" s="13">
        <v>0</v>
      </c>
      <c r="I15" s="6">
        <f t="shared" si="1"/>
        <v>1960</v>
      </c>
      <c r="J15" s="7">
        <f t="shared" si="0"/>
        <v>0.1272066458982347</v>
      </c>
    </row>
    <row r="16" spans="1:10" ht="15">
      <c r="A16" s="50"/>
      <c r="B16" s="3" t="s">
        <v>16</v>
      </c>
      <c r="C16" s="13"/>
      <c r="D16" s="11">
        <v>9836</v>
      </c>
      <c r="E16" s="14">
        <v>9949</v>
      </c>
      <c r="F16" s="7">
        <f>(E16-D16)*20</f>
        <v>2260</v>
      </c>
      <c r="G16" s="6">
        <v>0</v>
      </c>
      <c r="H16" s="13">
        <v>0</v>
      </c>
      <c r="I16" s="6">
        <f t="shared" si="1"/>
        <v>2260</v>
      </c>
      <c r="J16" s="7">
        <f t="shared" si="0"/>
        <v>0.14667705088265837</v>
      </c>
    </row>
    <row r="17" spans="1:10" ht="15">
      <c r="A17" s="50"/>
      <c r="B17" s="3" t="s">
        <v>18</v>
      </c>
      <c r="C17" s="13"/>
      <c r="D17" s="11">
        <v>95950</v>
      </c>
      <c r="E17" s="14">
        <v>96981</v>
      </c>
      <c r="F17" s="15">
        <f aca="true" t="shared" si="2" ref="F17:F22">(E17-D17)*1</f>
        <v>1031</v>
      </c>
      <c r="G17" s="6">
        <v>0</v>
      </c>
      <c r="H17" s="13">
        <v>0</v>
      </c>
      <c r="I17" s="6">
        <f t="shared" si="1"/>
        <v>1031</v>
      </c>
      <c r="J17" s="7">
        <f t="shared" si="0"/>
        <v>0.06691329179646936</v>
      </c>
    </row>
    <row r="18" spans="1:10" ht="15">
      <c r="A18" s="50"/>
      <c r="B18" s="3" t="s">
        <v>19</v>
      </c>
      <c r="C18" s="13"/>
      <c r="D18" s="11">
        <v>103410</v>
      </c>
      <c r="E18" s="14">
        <v>104414</v>
      </c>
      <c r="F18" s="15">
        <f t="shared" si="2"/>
        <v>1004</v>
      </c>
      <c r="G18" s="6">
        <v>0</v>
      </c>
      <c r="H18" s="13">
        <v>0</v>
      </c>
      <c r="I18" s="6">
        <f t="shared" si="1"/>
        <v>1004</v>
      </c>
      <c r="J18" s="7">
        <f t="shared" si="0"/>
        <v>0.06516095534787124</v>
      </c>
    </row>
    <row r="19" spans="1:10" ht="15">
      <c r="A19" s="50"/>
      <c r="B19" s="3" t="s">
        <v>20</v>
      </c>
      <c r="C19" s="13"/>
      <c r="D19" s="11">
        <v>51680</v>
      </c>
      <c r="E19" s="14">
        <v>51896</v>
      </c>
      <c r="F19" s="15">
        <f t="shared" si="2"/>
        <v>216</v>
      </c>
      <c r="G19" s="6">
        <v>0</v>
      </c>
      <c r="H19" s="13">
        <v>0</v>
      </c>
      <c r="I19" s="6">
        <f t="shared" si="1"/>
        <v>216</v>
      </c>
      <c r="J19" s="7">
        <f t="shared" si="0"/>
        <v>0.014018691588785047</v>
      </c>
    </row>
    <row r="20" spans="1:10" ht="15">
      <c r="A20" s="50"/>
      <c r="B20" s="3" t="s">
        <v>21</v>
      </c>
      <c r="C20" s="13"/>
      <c r="D20" s="11">
        <v>58230</v>
      </c>
      <c r="E20" s="14">
        <v>58523</v>
      </c>
      <c r="F20" s="15">
        <f t="shared" si="2"/>
        <v>293</v>
      </c>
      <c r="G20" s="6">
        <v>0</v>
      </c>
      <c r="H20" s="13">
        <v>0</v>
      </c>
      <c r="I20" s="6">
        <f t="shared" si="1"/>
        <v>293</v>
      </c>
      <c r="J20" s="7">
        <f t="shared" si="0"/>
        <v>0.019016095534787125</v>
      </c>
    </row>
    <row r="21" spans="1:10" ht="15">
      <c r="A21" s="50"/>
      <c r="B21" s="3" t="s">
        <v>22</v>
      </c>
      <c r="C21" s="13"/>
      <c r="D21" s="11">
        <v>13330</v>
      </c>
      <c r="E21" s="14">
        <v>13481</v>
      </c>
      <c r="F21" s="15">
        <f t="shared" si="2"/>
        <v>151</v>
      </c>
      <c r="G21" s="6">
        <v>0</v>
      </c>
      <c r="H21" s="13">
        <v>0</v>
      </c>
      <c r="I21" s="6">
        <f t="shared" si="1"/>
        <v>151</v>
      </c>
      <c r="J21" s="7">
        <f t="shared" si="0"/>
        <v>0.009800103842159917</v>
      </c>
    </row>
    <row r="22" spans="1:10" ht="15">
      <c r="A22" s="50"/>
      <c r="B22" s="3" t="s">
        <v>23</v>
      </c>
      <c r="C22" s="13"/>
      <c r="D22" s="11">
        <v>29670</v>
      </c>
      <c r="E22" s="14">
        <v>29972</v>
      </c>
      <c r="F22" s="15">
        <f t="shared" si="2"/>
        <v>302</v>
      </c>
      <c r="G22" s="6">
        <v>0</v>
      </c>
      <c r="H22" s="13">
        <v>0</v>
      </c>
      <c r="I22" s="6">
        <f t="shared" si="1"/>
        <v>302</v>
      </c>
      <c r="J22" s="7">
        <f t="shared" si="0"/>
        <v>0.019600207684319835</v>
      </c>
    </row>
    <row r="23" spans="1:12" ht="15">
      <c r="A23" s="51"/>
      <c r="B23" s="16" t="s">
        <v>11</v>
      </c>
      <c r="C23" s="16"/>
      <c r="D23" s="8"/>
      <c r="E23" s="16"/>
      <c r="F23" s="17">
        <f>SUM(F11:F22)</f>
        <v>9611</v>
      </c>
      <c r="G23" s="17">
        <f>SUM(G11:G22)</f>
        <v>0</v>
      </c>
      <c r="H23" s="17">
        <f>SUM(H11:H22)</f>
        <v>0</v>
      </c>
      <c r="I23" s="17">
        <f>SUM(I11:I22)</f>
        <v>9611</v>
      </c>
      <c r="J23" s="7">
        <f t="shared" si="0"/>
        <v>0.6237668743509865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18">
        <f aca="true" t="shared" si="3" ref="F24:I25">F11+F13+F15+F17+F19+F21</f>
        <v>4400</v>
      </c>
      <c r="G24" s="18">
        <f t="shared" si="3"/>
        <v>0</v>
      </c>
      <c r="H24" s="18">
        <f t="shared" si="3"/>
        <v>0</v>
      </c>
      <c r="I24" s="18">
        <f t="shared" si="3"/>
        <v>4400</v>
      </c>
      <c r="J24" s="7">
        <f t="shared" si="0"/>
        <v>0.28556593977154726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5211</v>
      </c>
      <c r="G25" s="19">
        <f t="shared" si="3"/>
        <v>0</v>
      </c>
      <c r="H25" s="19">
        <f t="shared" si="3"/>
        <v>0</v>
      </c>
      <c r="I25" s="19">
        <f t="shared" si="3"/>
        <v>5211</v>
      </c>
      <c r="J25" s="7">
        <f t="shared" si="0"/>
        <v>0.3382009345794392</v>
      </c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2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5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71093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27" t="s">
        <v>39</v>
      </c>
    </row>
    <row r="4" spans="1:10" ht="1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9.75" customHeight="1">
      <c r="A5" s="53" t="s">
        <v>0</v>
      </c>
      <c r="B5" s="55" t="s">
        <v>1</v>
      </c>
      <c r="C5" s="53" t="s">
        <v>2</v>
      </c>
      <c r="D5" s="57" t="s">
        <v>5</v>
      </c>
      <c r="E5" s="58"/>
      <c r="F5" s="53" t="s">
        <v>26</v>
      </c>
      <c r="G5" s="53" t="s">
        <v>27</v>
      </c>
      <c r="H5" s="53" t="s">
        <v>28</v>
      </c>
      <c r="I5" s="53" t="s">
        <v>3</v>
      </c>
      <c r="J5" s="55" t="s">
        <v>4</v>
      </c>
    </row>
    <row r="6" spans="1:10" ht="31.5" customHeight="1">
      <c r="A6" s="54"/>
      <c r="B6" s="56"/>
      <c r="C6" s="54"/>
      <c r="D6" s="28" t="s">
        <v>9</v>
      </c>
      <c r="E6" s="29" t="s">
        <v>10</v>
      </c>
      <c r="F6" s="54"/>
      <c r="G6" s="54"/>
      <c r="H6" s="54"/>
      <c r="I6" s="54"/>
      <c r="J6" s="56"/>
    </row>
    <row r="7" spans="1:12" ht="15">
      <c r="A7" s="30">
        <v>1</v>
      </c>
      <c r="B7" s="31" t="s">
        <v>37</v>
      </c>
      <c r="C7" s="30"/>
      <c r="D7" s="32"/>
      <c r="E7" s="33"/>
      <c r="F7" s="30">
        <f>57.27</f>
        <v>57.27</v>
      </c>
      <c r="G7" s="34">
        <f>1058.23*0.0478</f>
        <v>50.583394000000006</v>
      </c>
      <c r="H7" s="34">
        <v>0</v>
      </c>
      <c r="I7" s="6">
        <f aca="true" t="shared" si="0" ref="I7:I22">F7-G7-H7</f>
        <v>6.686605999999998</v>
      </c>
      <c r="J7" s="7">
        <f aca="true" t="shared" si="1" ref="J7:J25">I7/15408</f>
        <v>0.000433969755970924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847.96</f>
        <v>847.96</v>
      </c>
      <c r="G8" s="6">
        <f>449.6547+573.41+35.17</f>
        <v>1058.2347</v>
      </c>
      <c r="H8" s="6">
        <v>0</v>
      </c>
      <c r="I8" s="6">
        <f t="shared" si="0"/>
        <v>-210.27469999999994</v>
      </c>
      <c r="J8" s="7">
        <f t="shared" si="1"/>
        <v>-0.013647111889927307</v>
      </c>
      <c r="L8" s="20"/>
    </row>
    <row r="9" spans="1:12" ht="15">
      <c r="A9" s="2">
        <v>3</v>
      </c>
      <c r="B9" s="3" t="s">
        <v>33</v>
      </c>
      <c r="C9" s="6" t="s">
        <v>40</v>
      </c>
      <c r="D9" s="5"/>
      <c r="E9" s="5"/>
      <c r="F9" s="6">
        <v>1663</v>
      </c>
      <c r="G9" s="6">
        <f>543.8467+781.25+85.93</f>
        <v>1411.0267000000001</v>
      </c>
      <c r="H9" s="6">
        <f>101</f>
        <v>101</v>
      </c>
      <c r="I9" s="6">
        <f t="shared" si="0"/>
        <v>150.97329999999988</v>
      </c>
      <c r="J9" s="7">
        <f t="shared" si="1"/>
        <v>0.009798370976116296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2510.96</v>
      </c>
      <c r="G10" s="6">
        <f>993.5013+1424.09+51.67</f>
        <v>2469.2613</v>
      </c>
      <c r="H10" s="6">
        <f>H8+H9</f>
        <v>101</v>
      </c>
      <c r="I10" s="6">
        <f t="shared" si="0"/>
        <v>-59.30130000000008</v>
      </c>
      <c r="J10" s="7">
        <f t="shared" si="1"/>
        <v>-0.003848734423676018</v>
      </c>
    </row>
    <row r="11" spans="1:10" ht="15">
      <c r="A11" s="39">
        <v>5</v>
      </c>
      <c r="B11" s="3" t="s">
        <v>12</v>
      </c>
      <c r="C11" s="6"/>
      <c r="D11" s="11">
        <v>35326</v>
      </c>
      <c r="E11" s="11">
        <v>35549</v>
      </c>
      <c r="F11" s="7">
        <f>(E11-D11)*1</f>
        <v>223</v>
      </c>
      <c r="G11" s="6">
        <v>0</v>
      </c>
      <c r="H11" s="6">
        <v>0</v>
      </c>
      <c r="I11" s="6">
        <f t="shared" si="0"/>
        <v>223</v>
      </c>
      <c r="J11" s="7">
        <f t="shared" si="1"/>
        <v>0.014473001038421598</v>
      </c>
    </row>
    <row r="12" spans="1:10" ht="15">
      <c r="A12" s="50"/>
      <c r="B12" s="3" t="s">
        <v>13</v>
      </c>
      <c r="C12" s="6"/>
      <c r="D12" s="11">
        <v>44737</v>
      </c>
      <c r="E12" s="11">
        <v>45105</v>
      </c>
      <c r="F12" s="7">
        <f>(E12-D12)*1</f>
        <v>368</v>
      </c>
      <c r="G12" s="6">
        <v>0</v>
      </c>
      <c r="H12" s="6">
        <v>0</v>
      </c>
      <c r="I12" s="6">
        <f t="shared" si="0"/>
        <v>368</v>
      </c>
      <c r="J12" s="7">
        <f t="shared" si="1"/>
        <v>0.023883696780893044</v>
      </c>
    </row>
    <row r="13" spans="1:10" ht="15">
      <c r="A13" s="50"/>
      <c r="B13" s="3" t="s">
        <v>14</v>
      </c>
      <c r="C13" s="6"/>
      <c r="D13" s="11">
        <v>74961</v>
      </c>
      <c r="E13" s="11">
        <v>75577</v>
      </c>
      <c r="F13" s="7">
        <f>(E13-D13)*1</f>
        <v>616</v>
      </c>
      <c r="G13" s="6">
        <v>0</v>
      </c>
      <c r="H13" s="6">
        <v>0</v>
      </c>
      <c r="I13" s="6">
        <f t="shared" si="0"/>
        <v>616</v>
      </c>
      <c r="J13" s="7">
        <f t="shared" si="1"/>
        <v>0.03997923156801662</v>
      </c>
    </row>
    <row r="14" spans="1:10" ht="15">
      <c r="A14" s="50"/>
      <c r="B14" s="3" t="s">
        <v>15</v>
      </c>
      <c r="C14" s="6"/>
      <c r="D14" s="11">
        <v>76331</v>
      </c>
      <c r="E14" s="11">
        <v>77137</v>
      </c>
      <c r="F14" s="7">
        <f>(E14-D14)*1</f>
        <v>806</v>
      </c>
      <c r="G14" s="6">
        <v>0</v>
      </c>
      <c r="H14" s="6">
        <v>0</v>
      </c>
      <c r="I14" s="6">
        <f t="shared" si="0"/>
        <v>806</v>
      </c>
      <c r="J14" s="7">
        <f t="shared" si="1"/>
        <v>0.05231048805815161</v>
      </c>
    </row>
    <row r="15" spans="1:10" ht="15">
      <c r="A15" s="50"/>
      <c r="B15" s="3" t="s">
        <v>17</v>
      </c>
      <c r="C15" s="6"/>
      <c r="D15" s="11">
        <v>9382</v>
      </c>
      <c r="E15" s="11">
        <v>9461</v>
      </c>
      <c r="F15" s="7">
        <f>(E15-D15)*20</f>
        <v>1580</v>
      </c>
      <c r="G15" s="6">
        <v>0</v>
      </c>
      <c r="H15" s="6">
        <v>0</v>
      </c>
      <c r="I15" s="6">
        <f t="shared" si="0"/>
        <v>1580</v>
      </c>
      <c r="J15" s="7">
        <f t="shared" si="1"/>
        <v>0.1025441329179647</v>
      </c>
    </row>
    <row r="16" spans="1:10" ht="15">
      <c r="A16" s="50"/>
      <c r="B16" s="3" t="s">
        <v>16</v>
      </c>
      <c r="C16" s="6"/>
      <c r="D16" s="11">
        <v>9949</v>
      </c>
      <c r="E16" s="11">
        <v>10049</v>
      </c>
      <c r="F16" s="7">
        <f>(E16-D16)*20</f>
        <v>2000</v>
      </c>
      <c r="G16" s="6">
        <v>0</v>
      </c>
      <c r="H16" s="6">
        <v>0</v>
      </c>
      <c r="I16" s="6">
        <f t="shared" si="0"/>
        <v>2000</v>
      </c>
      <c r="J16" s="7">
        <f t="shared" si="1"/>
        <v>0.12980269989615784</v>
      </c>
    </row>
    <row r="17" spans="1:10" ht="15">
      <c r="A17" s="50"/>
      <c r="B17" s="3" t="s">
        <v>18</v>
      </c>
      <c r="C17" s="6"/>
      <c r="D17" s="11">
        <v>96981</v>
      </c>
      <c r="E17" s="11">
        <v>97861</v>
      </c>
      <c r="F17" s="7">
        <f aca="true" t="shared" si="2" ref="F17:F22">(E17-D17)*1</f>
        <v>880</v>
      </c>
      <c r="G17" s="6">
        <v>0</v>
      </c>
      <c r="H17" s="6">
        <v>0</v>
      </c>
      <c r="I17" s="6">
        <f t="shared" si="0"/>
        <v>880</v>
      </c>
      <c r="J17" s="7">
        <f t="shared" si="1"/>
        <v>0.05711318795430945</v>
      </c>
    </row>
    <row r="18" spans="1:10" ht="15">
      <c r="A18" s="50"/>
      <c r="B18" s="3" t="s">
        <v>19</v>
      </c>
      <c r="C18" s="6"/>
      <c r="D18" s="11">
        <v>104414</v>
      </c>
      <c r="E18" s="11">
        <v>105374</v>
      </c>
      <c r="F18" s="7">
        <f t="shared" si="2"/>
        <v>960</v>
      </c>
      <c r="G18" s="6">
        <v>0</v>
      </c>
      <c r="H18" s="6">
        <v>0</v>
      </c>
      <c r="I18" s="6">
        <f t="shared" si="0"/>
        <v>960</v>
      </c>
      <c r="J18" s="7">
        <f t="shared" si="1"/>
        <v>0.06230529595015576</v>
      </c>
    </row>
    <row r="19" spans="1:10" ht="15">
      <c r="A19" s="50"/>
      <c r="B19" s="3" t="s">
        <v>20</v>
      </c>
      <c r="C19" s="6"/>
      <c r="D19" s="11">
        <v>51896</v>
      </c>
      <c r="E19" s="11">
        <v>52040</v>
      </c>
      <c r="F19" s="7">
        <f t="shared" si="2"/>
        <v>144</v>
      </c>
      <c r="G19" s="6">
        <v>0</v>
      </c>
      <c r="H19" s="6">
        <v>0</v>
      </c>
      <c r="I19" s="6">
        <f t="shared" si="0"/>
        <v>144</v>
      </c>
      <c r="J19" s="7">
        <f t="shared" si="1"/>
        <v>0.009345794392523364</v>
      </c>
    </row>
    <row r="20" spans="1:10" ht="15">
      <c r="A20" s="50"/>
      <c r="B20" s="3" t="s">
        <v>21</v>
      </c>
      <c r="C20" s="6"/>
      <c r="D20" s="11">
        <v>58523</v>
      </c>
      <c r="E20" s="11">
        <v>58740</v>
      </c>
      <c r="F20" s="7">
        <f t="shared" si="2"/>
        <v>217</v>
      </c>
      <c r="G20" s="6">
        <v>0</v>
      </c>
      <c r="H20" s="6">
        <v>0</v>
      </c>
      <c r="I20" s="6">
        <f t="shared" si="0"/>
        <v>217</v>
      </c>
      <c r="J20" s="7">
        <f t="shared" si="1"/>
        <v>0.014083592938733125</v>
      </c>
    </row>
    <row r="21" spans="1:10" ht="15">
      <c r="A21" s="50"/>
      <c r="B21" s="3" t="s">
        <v>22</v>
      </c>
      <c r="C21" s="6"/>
      <c r="D21" s="11">
        <v>13481</v>
      </c>
      <c r="E21" s="11">
        <v>13585</v>
      </c>
      <c r="F21" s="7">
        <f t="shared" si="2"/>
        <v>104</v>
      </c>
      <c r="G21" s="6">
        <v>0</v>
      </c>
      <c r="H21" s="6">
        <v>0</v>
      </c>
      <c r="I21" s="6">
        <f t="shared" si="0"/>
        <v>104</v>
      </c>
      <c r="J21" s="7">
        <f t="shared" si="1"/>
        <v>0.006749740394600207</v>
      </c>
    </row>
    <row r="22" spans="1:10" ht="15">
      <c r="A22" s="50"/>
      <c r="B22" s="3" t="s">
        <v>23</v>
      </c>
      <c r="C22" s="6"/>
      <c r="D22" s="11">
        <v>29972</v>
      </c>
      <c r="E22" s="11">
        <v>30374</v>
      </c>
      <c r="F22" s="7">
        <f t="shared" si="2"/>
        <v>402</v>
      </c>
      <c r="G22" s="6">
        <v>0</v>
      </c>
      <c r="H22" s="6">
        <v>0</v>
      </c>
      <c r="I22" s="6">
        <f t="shared" si="0"/>
        <v>402</v>
      </c>
      <c r="J22" s="7">
        <f t="shared" si="1"/>
        <v>0.026090342679127725</v>
      </c>
    </row>
    <row r="23" spans="1:12" ht="15">
      <c r="A23" s="59"/>
      <c r="B23" s="35" t="s">
        <v>11</v>
      </c>
      <c r="C23" s="35"/>
      <c r="D23" s="8"/>
      <c r="E23" s="35"/>
      <c r="F23" s="36">
        <f>SUM(F11:F22)</f>
        <v>8300</v>
      </c>
      <c r="G23" s="36">
        <f>SUM(G11:G22)</f>
        <v>0</v>
      </c>
      <c r="H23" s="36">
        <f>SUM(H11:H22)</f>
        <v>0</v>
      </c>
      <c r="I23" s="36">
        <f>SUM(I11:I22)</f>
        <v>8300</v>
      </c>
      <c r="J23" s="7">
        <f t="shared" si="1"/>
        <v>0.538681204569055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37">
        <f aca="true" t="shared" si="3" ref="F24:I25">F11+F13+F15+F17+F19+F21</f>
        <v>3547</v>
      </c>
      <c r="G24" s="37">
        <f t="shared" si="3"/>
        <v>0</v>
      </c>
      <c r="H24" s="37">
        <f t="shared" si="3"/>
        <v>0</v>
      </c>
      <c r="I24" s="37">
        <f t="shared" si="3"/>
        <v>3547</v>
      </c>
      <c r="J24" s="7">
        <f t="shared" si="1"/>
        <v>0.23020508826583594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4753</v>
      </c>
      <c r="G25" s="19">
        <f t="shared" si="3"/>
        <v>0</v>
      </c>
      <c r="H25" s="19">
        <f t="shared" si="3"/>
        <v>0</v>
      </c>
      <c r="I25" s="19">
        <f t="shared" si="3"/>
        <v>4753</v>
      </c>
      <c r="J25" s="7">
        <f t="shared" si="1"/>
        <v>0.3084761163032191</v>
      </c>
    </row>
  </sheetData>
  <sheetProtection/>
  <mergeCells count="11">
    <mergeCell ref="A11:A23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5" ySplit="10" topLeftCell="F1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1" sqref="A11:A23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71093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27" t="s">
        <v>41</v>
      </c>
    </row>
    <row r="4" spans="1:10" ht="1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9.75" customHeight="1">
      <c r="A5" s="53" t="s">
        <v>0</v>
      </c>
      <c r="B5" s="55" t="s">
        <v>1</v>
      </c>
      <c r="C5" s="53" t="s">
        <v>2</v>
      </c>
      <c r="D5" s="57" t="s">
        <v>5</v>
      </c>
      <c r="E5" s="58"/>
      <c r="F5" s="53" t="s">
        <v>26</v>
      </c>
      <c r="G5" s="53" t="s">
        <v>27</v>
      </c>
      <c r="H5" s="53" t="s">
        <v>28</v>
      </c>
      <c r="I5" s="53" t="s">
        <v>3</v>
      </c>
      <c r="J5" s="55" t="s">
        <v>4</v>
      </c>
    </row>
    <row r="6" spans="1:10" ht="31.5" customHeight="1">
      <c r="A6" s="54"/>
      <c r="B6" s="56"/>
      <c r="C6" s="54"/>
      <c r="D6" s="28" t="s">
        <v>9</v>
      </c>
      <c r="E6" s="29" t="s">
        <v>10</v>
      </c>
      <c r="F6" s="54"/>
      <c r="G6" s="54"/>
      <c r="H6" s="54"/>
      <c r="I6" s="54"/>
      <c r="J6" s="56"/>
    </row>
    <row r="7" spans="1:12" ht="15">
      <c r="A7" s="30">
        <v>1</v>
      </c>
      <c r="B7" s="31" t="s">
        <v>37</v>
      </c>
      <c r="C7" s="30"/>
      <c r="D7" s="32"/>
      <c r="E7" s="33"/>
      <c r="F7" s="30">
        <f>57.58</f>
        <v>57.58</v>
      </c>
      <c r="G7" s="34">
        <f>G8*0.0478</f>
        <v>52.25753642</v>
      </c>
      <c r="H7" s="34">
        <v>0</v>
      </c>
      <c r="I7" s="6">
        <f>I8*0.0478</f>
        <v>2.10350592</v>
      </c>
      <c r="J7" s="7">
        <f aca="true" t="shared" si="0" ref="J7:J25">I7/15408</f>
        <v>0.0001365203738317757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1270.58</f>
        <v>1270.58</v>
      </c>
      <c r="G8" s="6">
        <f>416.2639+632.68+44.31</f>
        <v>1093.2539</v>
      </c>
      <c r="H8" s="6">
        <v>0</v>
      </c>
      <c r="I8" s="6">
        <v>44.0064</v>
      </c>
      <c r="J8" s="7">
        <f t="shared" si="0"/>
        <v>0.00285607476635514</v>
      </c>
      <c r="L8" s="20"/>
    </row>
    <row r="9" spans="1:12" ht="15">
      <c r="A9" s="2">
        <v>3</v>
      </c>
      <c r="B9" s="3" t="s">
        <v>33</v>
      </c>
      <c r="C9" s="6" t="s">
        <v>42</v>
      </c>
      <c r="D9" s="5"/>
      <c r="E9" s="5"/>
      <c r="F9" s="6">
        <f>64144-62467</f>
        <v>1677</v>
      </c>
      <c r="G9" s="6">
        <f>503.4613+829.18+27.96</f>
        <v>1360.6013</v>
      </c>
      <c r="H9" s="6">
        <f>131</f>
        <v>131</v>
      </c>
      <c r="I9" s="6">
        <v>44.0064</v>
      </c>
      <c r="J9" s="7">
        <f t="shared" si="0"/>
        <v>0.00285607476635514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2947.58</v>
      </c>
      <c r="G10" s="6">
        <f>919.7252+1486.35+47.78</f>
        <v>2453.8552</v>
      </c>
      <c r="H10" s="6">
        <f>H8+H9</f>
        <v>131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12</v>
      </c>
      <c r="C11" s="6"/>
      <c r="D11" s="11">
        <v>35549</v>
      </c>
      <c r="E11" s="11">
        <v>35756</v>
      </c>
      <c r="F11" s="7">
        <f>(E11-D11)*1</f>
        <v>207</v>
      </c>
      <c r="G11" s="6">
        <v>0</v>
      </c>
      <c r="H11" s="6">
        <v>0</v>
      </c>
      <c r="I11" s="6">
        <f aca="true" t="shared" si="1" ref="I11:I22">F11-G11-H11</f>
        <v>207</v>
      </c>
      <c r="J11" s="7">
        <f t="shared" si="0"/>
        <v>0.013434579439252336</v>
      </c>
    </row>
    <row r="12" spans="1:10" ht="15">
      <c r="A12" s="50"/>
      <c r="B12" s="3" t="s">
        <v>13</v>
      </c>
      <c r="C12" s="6"/>
      <c r="D12" s="11">
        <v>45105</v>
      </c>
      <c r="E12" s="11">
        <v>45391</v>
      </c>
      <c r="F12" s="7">
        <f>(E12-D12)*1</f>
        <v>286</v>
      </c>
      <c r="G12" s="6">
        <v>0</v>
      </c>
      <c r="H12" s="6">
        <v>0</v>
      </c>
      <c r="I12" s="6">
        <f t="shared" si="1"/>
        <v>286</v>
      </c>
      <c r="J12" s="7">
        <f t="shared" si="0"/>
        <v>0.01856178608515057</v>
      </c>
    </row>
    <row r="13" spans="1:10" ht="15">
      <c r="A13" s="50"/>
      <c r="B13" s="3" t="s">
        <v>14</v>
      </c>
      <c r="C13" s="6"/>
      <c r="D13" s="11">
        <v>75577</v>
      </c>
      <c r="E13" s="11">
        <v>76153</v>
      </c>
      <c r="F13" s="7">
        <f>(E13-D13)*1</f>
        <v>576</v>
      </c>
      <c r="G13" s="6">
        <v>0</v>
      </c>
      <c r="H13" s="6">
        <v>0</v>
      </c>
      <c r="I13" s="6">
        <f t="shared" si="1"/>
        <v>576</v>
      </c>
      <c r="J13" s="7">
        <f t="shared" si="0"/>
        <v>0.037383177570093455</v>
      </c>
    </row>
    <row r="14" spans="1:10" ht="15">
      <c r="A14" s="50"/>
      <c r="B14" s="3" t="s">
        <v>15</v>
      </c>
      <c r="C14" s="6"/>
      <c r="D14" s="11">
        <v>77137</v>
      </c>
      <c r="E14" s="11">
        <v>77622</v>
      </c>
      <c r="F14" s="7">
        <f>(E14-D14)*1</f>
        <v>485</v>
      </c>
      <c r="G14" s="6">
        <v>0</v>
      </c>
      <c r="H14" s="6">
        <v>0</v>
      </c>
      <c r="I14" s="6">
        <f t="shared" si="1"/>
        <v>485</v>
      </c>
      <c r="J14" s="7">
        <f t="shared" si="0"/>
        <v>0.031477154724818275</v>
      </c>
    </row>
    <row r="15" spans="1:10" ht="15">
      <c r="A15" s="50"/>
      <c r="B15" s="3" t="s">
        <v>17</v>
      </c>
      <c r="C15" s="6"/>
      <c r="D15" s="11">
        <v>9461</v>
      </c>
      <c r="E15" s="11">
        <v>9536</v>
      </c>
      <c r="F15" s="7">
        <f>(E15-D15)*20</f>
        <v>1500</v>
      </c>
      <c r="G15" s="6">
        <v>0</v>
      </c>
      <c r="H15" s="6">
        <v>0</v>
      </c>
      <c r="I15" s="6">
        <f t="shared" si="1"/>
        <v>1500</v>
      </c>
      <c r="J15" s="7">
        <f t="shared" si="0"/>
        <v>0.09735202492211838</v>
      </c>
    </row>
    <row r="16" spans="1:10" ht="15">
      <c r="A16" s="50"/>
      <c r="B16" s="3" t="s">
        <v>16</v>
      </c>
      <c r="C16" s="6"/>
      <c r="D16" s="11">
        <v>10049</v>
      </c>
      <c r="E16" s="11">
        <v>10121</v>
      </c>
      <c r="F16" s="7">
        <f>(E16-D16)*20</f>
        <v>1440</v>
      </c>
      <c r="G16" s="6">
        <v>0</v>
      </c>
      <c r="H16" s="6">
        <v>0</v>
      </c>
      <c r="I16" s="6">
        <f t="shared" si="1"/>
        <v>1440</v>
      </c>
      <c r="J16" s="7">
        <f t="shared" si="0"/>
        <v>0.09345794392523364</v>
      </c>
    </row>
    <row r="17" spans="1:10" ht="15">
      <c r="A17" s="50"/>
      <c r="B17" s="3" t="s">
        <v>18</v>
      </c>
      <c r="C17" s="6"/>
      <c r="D17" s="11">
        <v>97861</v>
      </c>
      <c r="E17" s="11">
        <v>98753</v>
      </c>
      <c r="F17" s="7">
        <f aca="true" t="shared" si="2" ref="F17:F22">(E17-D17)*1</f>
        <v>892</v>
      </c>
      <c r="G17" s="6">
        <v>0</v>
      </c>
      <c r="H17" s="6">
        <v>0</v>
      </c>
      <c r="I17" s="6">
        <f t="shared" si="1"/>
        <v>892</v>
      </c>
      <c r="J17" s="7">
        <f t="shared" si="0"/>
        <v>0.057892004153686394</v>
      </c>
    </row>
    <row r="18" spans="1:10" ht="15">
      <c r="A18" s="50"/>
      <c r="B18" s="3" t="s">
        <v>19</v>
      </c>
      <c r="C18" s="6"/>
      <c r="D18" s="11">
        <v>105374</v>
      </c>
      <c r="E18" s="11">
        <v>106180</v>
      </c>
      <c r="F18" s="7">
        <f t="shared" si="2"/>
        <v>806</v>
      </c>
      <c r="G18" s="6">
        <v>0</v>
      </c>
      <c r="H18" s="6">
        <v>0</v>
      </c>
      <c r="I18" s="6">
        <f t="shared" si="1"/>
        <v>806</v>
      </c>
      <c r="J18" s="7">
        <f t="shared" si="0"/>
        <v>0.05231048805815161</v>
      </c>
    </row>
    <row r="19" spans="1:10" ht="15">
      <c r="A19" s="50"/>
      <c r="B19" s="3" t="s">
        <v>20</v>
      </c>
      <c r="C19" s="6"/>
      <c r="D19" s="11">
        <v>52040</v>
      </c>
      <c r="E19" s="11">
        <v>52185</v>
      </c>
      <c r="F19" s="7">
        <f t="shared" si="2"/>
        <v>145</v>
      </c>
      <c r="G19" s="6">
        <v>0</v>
      </c>
      <c r="H19" s="6">
        <v>0</v>
      </c>
      <c r="I19" s="6">
        <f t="shared" si="1"/>
        <v>145</v>
      </c>
      <c r="J19" s="7">
        <f t="shared" si="0"/>
        <v>0.009410695742471444</v>
      </c>
    </row>
    <row r="20" spans="1:10" ht="15">
      <c r="A20" s="50"/>
      <c r="B20" s="3" t="s">
        <v>21</v>
      </c>
      <c r="C20" s="6"/>
      <c r="D20" s="11">
        <v>58740</v>
      </c>
      <c r="E20" s="11">
        <v>58935</v>
      </c>
      <c r="F20" s="7">
        <f t="shared" si="2"/>
        <v>195</v>
      </c>
      <c r="G20" s="6">
        <v>0</v>
      </c>
      <c r="H20" s="6">
        <v>0</v>
      </c>
      <c r="I20" s="6">
        <f t="shared" si="1"/>
        <v>195</v>
      </c>
      <c r="J20" s="7">
        <f t="shared" si="0"/>
        <v>0.012655763239875389</v>
      </c>
    </row>
    <row r="21" spans="1:10" ht="15">
      <c r="A21" s="50"/>
      <c r="B21" s="3" t="s">
        <v>22</v>
      </c>
      <c r="C21" s="6"/>
      <c r="D21" s="11">
        <v>13585</v>
      </c>
      <c r="E21" s="11">
        <v>13680</v>
      </c>
      <c r="F21" s="7">
        <f t="shared" si="2"/>
        <v>95</v>
      </c>
      <c r="G21" s="6">
        <v>0</v>
      </c>
      <c r="H21" s="6">
        <v>0</v>
      </c>
      <c r="I21" s="6">
        <f t="shared" si="1"/>
        <v>95</v>
      </c>
      <c r="J21" s="7">
        <f t="shared" si="0"/>
        <v>0.006165628245067498</v>
      </c>
    </row>
    <row r="22" spans="1:10" ht="15">
      <c r="A22" s="50"/>
      <c r="B22" s="3" t="s">
        <v>23</v>
      </c>
      <c r="C22" s="6"/>
      <c r="D22" s="11">
        <v>30374</v>
      </c>
      <c r="E22" s="11">
        <v>30693</v>
      </c>
      <c r="F22" s="7">
        <f t="shared" si="2"/>
        <v>319</v>
      </c>
      <c r="G22" s="6">
        <v>0</v>
      </c>
      <c r="H22" s="6">
        <v>0</v>
      </c>
      <c r="I22" s="6">
        <f t="shared" si="1"/>
        <v>319</v>
      </c>
      <c r="J22" s="7">
        <f t="shared" si="0"/>
        <v>0.020703530633437175</v>
      </c>
    </row>
    <row r="23" spans="1:12" ht="15">
      <c r="A23" s="59"/>
      <c r="B23" s="35" t="s">
        <v>11</v>
      </c>
      <c r="C23" s="35"/>
      <c r="D23" s="8"/>
      <c r="E23" s="35"/>
      <c r="F23" s="36">
        <f>SUM(F11:F22)</f>
        <v>6946</v>
      </c>
      <c r="G23" s="36">
        <f>SUM(G11:G22)</f>
        <v>0</v>
      </c>
      <c r="H23" s="36">
        <f>SUM(H11:H22)</f>
        <v>0</v>
      </c>
      <c r="I23" s="36">
        <f>SUM(I11:I22)</f>
        <v>6946</v>
      </c>
      <c r="J23" s="7">
        <f t="shared" si="0"/>
        <v>0.4508047767393562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37">
        <f aca="true" t="shared" si="3" ref="F24:I25">F11+F13+F15+F17+F19+F21</f>
        <v>3415</v>
      </c>
      <c r="G24" s="37">
        <f t="shared" si="3"/>
        <v>0</v>
      </c>
      <c r="H24" s="37">
        <f t="shared" si="3"/>
        <v>0</v>
      </c>
      <c r="I24" s="37">
        <f t="shared" si="3"/>
        <v>3415</v>
      </c>
      <c r="J24" s="7">
        <f t="shared" si="0"/>
        <v>0.22163811007268952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3531</v>
      </c>
      <c r="G25" s="19">
        <f t="shared" si="3"/>
        <v>0</v>
      </c>
      <c r="H25" s="19">
        <f t="shared" si="3"/>
        <v>0</v>
      </c>
      <c r="I25" s="19">
        <f t="shared" si="3"/>
        <v>3531</v>
      </c>
      <c r="J25" s="7">
        <f t="shared" si="0"/>
        <v>0.22916666666666666</v>
      </c>
    </row>
  </sheetData>
  <sheetProtection/>
  <mergeCells count="11">
    <mergeCell ref="J5:J6"/>
    <mergeCell ref="A11:A23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5" ySplit="10" topLeftCell="F1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7" sqref="B7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71093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27" t="s">
        <v>43</v>
      </c>
    </row>
    <row r="4" spans="1:10" ht="1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9.75" customHeight="1">
      <c r="A5" s="53" t="s">
        <v>0</v>
      </c>
      <c r="B5" s="55" t="s">
        <v>1</v>
      </c>
      <c r="C5" s="53" t="s">
        <v>2</v>
      </c>
      <c r="D5" s="57" t="s">
        <v>5</v>
      </c>
      <c r="E5" s="58"/>
      <c r="F5" s="53" t="s">
        <v>26</v>
      </c>
      <c r="G5" s="53" t="s">
        <v>27</v>
      </c>
      <c r="H5" s="53" t="s">
        <v>28</v>
      </c>
      <c r="I5" s="53" t="s">
        <v>3</v>
      </c>
      <c r="J5" s="55" t="s">
        <v>4</v>
      </c>
    </row>
    <row r="6" spans="1:10" ht="31.5" customHeight="1">
      <c r="A6" s="54"/>
      <c r="B6" s="56"/>
      <c r="C6" s="54"/>
      <c r="D6" s="28" t="s">
        <v>9</v>
      </c>
      <c r="E6" s="29" t="s">
        <v>10</v>
      </c>
      <c r="F6" s="54"/>
      <c r="G6" s="54"/>
      <c r="H6" s="54"/>
      <c r="I6" s="54"/>
      <c r="J6" s="56"/>
    </row>
    <row r="7" spans="1:12" ht="15">
      <c r="A7" s="30">
        <v>1</v>
      </c>
      <c r="B7" s="31" t="s">
        <v>37</v>
      </c>
      <c r="C7" s="30"/>
      <c r="D7" s="32"/>
      <c r="E7" s="33"/>
      <c r="F7" s="30">
        <f>39.4</f>
        <v>39.4</v>
      </c>
      <c r="G7" s="34">
        <f>G8*0.0478</f>
        <v>56.25677600000001</v>
      </c>
      <c r="H7" s="34">
        <v>0</v>
      </c>
      <c r="I7" s="6">
        <f>F7-G7-H7</f>
        <v>-16.85677600000001</v>
      </c>
      <c r="J7" s="7">
        <f>I7/15407.4</f>
        <v>-0.0010940701221490978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867.97</f>
        <v>867.97</v>
      </c>
      <c r="G8" s="6">
        <f>417.04+655.98+103.9</f>
        <v>1176.92</v>
      </c>
      <c r="H8" s="6">
        <v>0</v>
      </c>
      <c r="I8" s="6">
        <f>F8-G8-H8</f>
        <v>-308.95000000000005</v>
      </c>
      <c r="J8" s="7">
        <f aca="true" t="shared" si="0" ref="J8:J25">I8/15407.4</f>
        <v>-0.020052052909640825</v>
      </c>
      <c r="L8" s="20"/>
    </row>
    <row r="9" spans="1:12" ht="15">
      <c r="A9" s="2">
        <v>3</v>
      </c>
      <c r="B9" s="3" t="s">
        <v>33</v>
      </c>
      <c r="C9" s="6" t="s">
        <v>44</v>
      </c>
      <c r="D9" s="5"/>
      <c r="E9" s="5"/>
      <c r="F9" s="6">
        <f>260.833+1304.167</f>
        <v>1565</v>
      </c>
      <c r="G9" s="6">
        <f>504.4+871.33+40.08</f>
        <v>1415.81</v>
      </c>
      <c r="H9" s="6">
        <v>133</v>
      </c>
      <c r="I9" s="6">
        <f>F9-G9-H9</f>
        <v>16.190000000000055</v>
      </c>
      <c r="J9" s="7">
        <f t="shared" si="0"/>
        <v>0.0010507937744200875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2432.9700000000003</v>
      </c>
      <c r="G10" s="6">
        <f>921.44+1573.25+98.04</f>
        <v>2592.73</v>
      </c>
      <c r="H10" s="6">
        <f>H8+H9</f>
        <v>133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12</v>
      </c>
      <c r="C11" s="6"/>
      <c r="D11" s="11">
        <v>35756</v>
      </c>
      <c r="E11" s="11">
        <v>35943</v>
      </c>
      <c r="F11" s="7">
        <f>(E11-D11)*1</f>
        <v>187</v>
      </c>
      <c r="G11" s="6">
        <v>0</v>
      </c>
      <c r="H11" s="6">
        <v>0</v>
      </c>
      <c r="I11" s="6">
        <f aca="true" t="shared" si="1" ref="I11:I22">F11-G11-H11</f>
        <v>187</v>
      </c>
      <c r="J11" s="7">
        <f t="shared" si="0"/>
        <v>0.012137025065877436</v>
      </c>
    </row>
    <row r="12" spans="1:10" ht="15">
      <c r="A12" s="50"/>
      <c r="B12" s="3" t="s">
        <v>13</v>
      </c>
      <c r="C12" s="6"/>
      <c r="D12" s="11">
        <v>45391</v>
      </c>
      <c r="E12" s="11">
        <v>45665</v>
      </c>
      <c r="F12" s="7">
        <f>(E12-D12)*1</f>
        <v>274</v>
      </c>
      <c r="G12" s="6">
        <v>0</v>
      </c>
      <c r="H12" s="6">
        <v>0</v>
      </c>
      <c r="I12" s="6">
        <f t="shared" si="1"/>
        <v>274</v>
      </c>
      <c r="J12" s="7">
        <f t="shared" si="0"/>
        <v>0.017783662395991537</v>
      </c>
    </row>
    <row r="13" spans="1:10" ht="15">
      <c r="A13" s="50"/>
      <c r="B13" s="3" t="s">
        <v>14</v>
      </c>
      <c r="C13" s="6"/>
      <c r="D13" s="11">
        <v>76153</v>
      </c>
      <c r="E13" s="11">
        <v>76650</v>
      </c>
      <c r="F13" s="7">
        <f>(E13-D13)*1</f>
        <v>497</v>
      </c>
      <c r="G13" s="6">
        <v>0</v>
      </c>
      <c r="H13" s="6">
        <v>0</v>
      </c>
      <c r="I13" s="6">
        <f t="shared" si="1"/>
        <v>497</v>
      </c>
      <c r="J13" s="7">
        <f t="shared" si="0"/>
        <v>0.032257227046743775</v>
      </c>
    </row>
    <row r="14" spans="1:10" ht="15">
      <c r="A14" s="50"/>
      <c r="B14" s="3" t="s">
        <v>15</v>
      </c>
      <c r="C14" s="6"/>
      <c r="D14" s="11">
        <v>77622</v>
      </c>
      <c r="E14" s="11">
        <v>78054</v>
      </c>
      <c r="F14" s="7">
        <f>(E14-D14)*1</f>
        <v>432</v>
      </c>
      <c r="G14" s="6">
        <v>0</v>
      </c>
      <c r="H14" s="6">
        <v>0</v>
      </c>
      <c r="I14" s="6">
        <f t="shared" si="1"/>
        <v>432</v>
      </c>
      <c r="J14" s="7">
        <f t="shared" si="0"/>
        <v>0.028038475018497606</v>
      </c>
    </row>
    <row r="15" spans="1:10" ht="15">
      <c r="A15" s="50"/>
      <c r="B15" s="3" t="s">
        <v>17</v>
      </c>
      <c r="C15" s="6"/>
      <c r="D15" s="11">
        <v>9536</v>
      </c>
      <c r="E15" s="11">
        <v>9593</v>
      </c>
      <c r="F15" s="7">
        <f>(E15-D15)*20</f>
        <v>1140</v>
      </c>
      <c r="G15" s="6">
        <v>0</v>
      </c>
      <c r="H15" s="6">
        <v>0</v>
      </c>
      <c r="I15" s="6">
        <f t="shared" si="1"/>
        <v>1140</v>
      </c>
      <c r="J15" s="7">
        <f t="shared" si="0"/>
        <v>0.07399042018770202</v>
      </c>
    </row>
    <row r="16" spans="1:10" ht="15">
      <c r="A16" s="50"/>
      <c r="B16" s="3" t="s">
        <v>16</v>
      </c>
      <c r="C16" s="6"/>
      <c r="D16" s="11">
        <v>10121</v>
      </c>
      <c r="E16" s="11">
        <v>10189</v>
      </c>
      <c r="F16" s="7">
        <f>(E16-D16)*20</f>
        <v>1360</v>
      </c>
      <c r="G16" s="6">
        <v>0</v>
      </c>
      <c r="H16" s="6">
        <v>0</v>
      </c>
      <c r="I16" s="6">
        <f t="shared" si="1"/>
        <v>1360</v>
      </c>
      <c r="J16" s="7">
        <f t="shared" si="0"/>
        <v>0.08826927320638135</v>
      </c>
    </row>
    <row r="17" spans="1:10" ht="15">
      <c r="A17" s="50"/>
      <c r="B17" s="3" t="s">
        <v>18</v>
      </c>
      <c r="C17" s="6"/>
      <c r="D17" s="11">
        <v>98753</v>
      </c>
      <c r="E17" s="11">
        <v>99626</v>
      </c>
      <c r="F17" s="7">
        <f aca="true" t="shared" si="2" ref="F17:F22">(E17-D17)*1</f>
        <v>873</v>
      </c>
      <c r="G17" s="6">
        <v>0</v>
      </c>
      <c r="H17" s="6">
        <v>0</v>
      </c>
      <c r="I17" s="6">
        <f t="shared" si="1"/>
        <v>873</v>
      </c>
      <c r="J17" s="7">
        <f t="shared" si="0"/>
        <v>0.05666108493321391</v>
      </c>
    </row>
    <row r="18" spans="1:10" ht="15">
      <c r="A18" s="50"/>
      <c r="B18" s="3" t="s">
        <v>19</v>
      </c>
      <c r="C18" s="6"/>
      <c r="D18" s="11">
        <v>106180</v>
      </c>
      <c r="E18" s="11">
        <v>107100</v>
      </c>
      <c r="F18" s="7">
        <f t="shared" si="2"/>
        <v>920</v>
      </c>
      <c r="G18" s="6">
        <v>0</v>
      </c>
      <c r="H18" s="6">
        <v>0</v>
      </c>
      <c r="I18" s="6">
        <f t="shared" si="1"/>
        <v>920</v>
      </c>
      <c r="J18" s="7">
        <f t="shared" si="0"/>
        <v>0.05971156716902268</v>
      </c>
    </row>
    <row r="19" spans="1:10" ht="15">
      <c r="A19" s="50"/>
      <c r="B19" s="3" t="s">
        <v>20</v>
      </c>
      <c r="C19" s="6"/>
      <c r="D19" s="11">
        <v>52185</v>
      </c>
      <c r="E19" s="11">
        <v>52354</v>
      </c>
      <c r="F19" s="7">
        <f t="shared" si="2"/>
        <v>169</v>
      </c>
      <c r="G19" s="6">
        <v>0</v>
      </c>
      <c r="H19" s="6">
        <v>0</v>
      </c>
      <c r="I19" s="6">
        <f t="shared" si="1"/>
        <v>169</v>
      </c>
      <c r="J19" s="7">
        <f t="shared" si="0"/>
        <v>0.010968755273440036</v>
      </c>
    </row>
    <row r="20" spans="1:10" ht="15">
      <c r="A20" s="50"/>
      <c r="B20" s="3" t="s">
        <v>21</v>
      </c>
      <c r="C20" s="6"/>
      <c r="D20" s="11">
        <v>58935</v>
      </c>
      <c r="E20" s="11">
        <v>59170</v>
      </c>
      <c r="F20" s="7">
        <f t="shared" si="2"/>
        <v>235</v>
      </c>
      <c r="G20" s="6">
        <v>0</v>
      </c>
      <c r="H20" s="6">
        <v>0</v>
      </c>
      <c r="I20" s="6">
        <f t="shared" si="1"/>
        <v>235</v>
      </c>
      <c r="J20" s="7">
        <f t="shared" si="0"/>
        <v>0.015252411179043836</v>
      </c>
    </row>
    <row r="21" spans="1:10" ht="15">
      <c r="A21" s="50"/>
      <c r="B21" s="3" t="s">
        <v>22</v>
      </c>
      <c r="C21" s="6"/>
      <c r="D21" s="11">
        <v>13680</v>
      </c>
      <c r="E21" s="11">
        <v>13767</v>
      </c>
      <c r="F21" s="7">
        <f t="shared" si="2"/>
        <v>87</v>
      </c>
      <c r="G21" s="6">
        <v>0</v>
      </c>
      <c r="H21" s="6">
        <v>0</v>
      </c>
      <c r="I21" s="6">
        <f t="shared" si="1"/>
        <v>87</v>
      </c>
      <c r="J21" s="7">
        <f t="shared" si="0"/>
        <v>0.005646637330114101</v>
      </c>
    </row>
    <row r="22" spans="1:10" ht="15">
      <c r="A22" s="50"/>
      <c r="B22" s="3" t="s">
        <v>23</v>
      </c>
      <c r="C22" s="6"/>
      <c r="D22" s="11">
        <v>30693</v>
      </c>
      <c r="E22" s="11">
        <v>30963</v>
      </c>
      <c r="F22" s="7">
        <f t="shared" si="2"/>
        <v>270</v>
      </c>
      <c r="G22" s="6">
        <v>0</v>
      </c>
      <c r="H22" s="6">
        <v>0</v>
      </c>
      <c r="I22" s="6">
        <f t="shared" si="1"/>
        <v>270</v>
      </c>
      <c r="J22" s="7">
        <f t="shared" si="0"/>
        <v>0.017524046886561003</v>
      </c>
    </row>
    <row r="23" spans="1:12" ht="15">
      <c r="A23" s="59"/>
      <c r="B23" s="35" t="s">
        <v>11</v>
      </c>
      <c r="C23" s="35"/>
      <c r="D23" s="8"/>
      <c r="E23" s="35"/>
      <c r="F23" s="36">
        <f>SUM(F11:F22)</f>
        <v>6444</v>
      </c>
      <c r="G23" s="36">
        <f>SUM(G11:G22)</f>
        <v>0</v>
      </c>
      <c r="H23" s="36">
        <f>SUM(H11:H22)</f>
        <v>0</v>
      </c>
      <c r="I23" s="36">
        <f>SUM(I11:I22)</f>
        <v>6444</v>
      </c>
      <c r="J23" s="7">
        <f t="shared" si="0"/>
        <v>0.41824058569258926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37">
        <f aca="true" t="shared" si="3" ref="F24:I25">F11+F13+F15+F17+F19+F21</f>
        <v>2953</v>
      </c>
      <c r="G24" s="37">
        <f t="shared" si="3"/>
        <v>0</v>
      </c>
      <c r="H24" s="37">
        <f t="shared" si="3"/>
        <v>0</v>
      </c>
      <c r="I24" s="37">
        <f t="shared" si="3"/>
        <v>2953</v>
      </c>
      <c r="J24" s="7">
        <f t="shared" si="0"/>
        <v>0.19166114983709126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3491</v>
      </c>
      <c r="G25" s="19">
        <f t="shared" si="3"/>
        <v>0</v>
      </c>
      <c r="H25" s="19">
        <f t="shared" si="3"/>
        <v>0</v>
      </c>
      <c r="I25" s="19">
        <f t="shared" si="3"/>
        <v>3491</v>
      </c>
      <c r="J25" s="7">
        <f t="shared" si="0"/>
        <v>0.226579435855498</v>
      </c>
    </row>
  </sheetData>
  <sheetProtection/>
  <mergeCells count="11">
    <mergeCell ref="I5:I6"/>
    <mergeCell ref="J5:J6"/>
    <mergeCell ref="A11:A23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5" ySplit="10" topLeftCell="F14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6" sqref="D6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18.71093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27" t="s">
        <v>45</v>
      </c>
    </row>
    <row r="4" spans="1:10" ht="1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9.75" customHeight="1">
      <c r="A5" s="53" t="s">
        <v>0</v>
      </c>
      <c r="B5" s="55" t="s">
        <v>1</v>
      </c>
      <c r="C5" s="53" t="s">
        <v>2</v>
      </c>
      <c r="D5" s="57" t="s">
        <v>5</v>
      </c>
      <c r="E5" s="58"/>
      <c r="F5" s="53" t="s">
        <v>26</v>
      </c>
      <c r="G5" s="53" t="s">
        <v>27</v>
      </c>
      <c r="H5" s="53" t="s">
        <v>28</v>
      </c>
      <c r="I5" s="53" t="s">
        <v>3</v>
      </c>
      <c r="J5" s="55" t="s">
        <v>4</v>
      </c>
    </row>
    <row r="6" spans="1:10" ht="31.5" customHeight="1">
      <c r="A6" s="54"/>
      <c r="B6" s="56"/>
      <c r="C6" s="54"/>
      <c r="D6" s="28" t="s">
        <v>9</v>
      </c>
      <c r="E6" s="29" t="s">
        <v>10</v>
      </c>
      <c r="F6" s="54"/>
      <c r="G6" s="54"/>
      <c r="H6" s="54"/>
      <c r="I6" s="54"/>
      <c r="J6" s="56"/>
    </row>
    <row r="7" spans="1:12" ht="15">
      <c r="A7" s="30">
        <v>1</v>
      </c>
      <c r="B7" s="31" t="s">
        <v>37</v>
      </c>
      <c r="C7" s="30"/>
      <c r="D7" s="32"/>
      <c r="E7" s="33"/>
      <c r="F7" s="30">
        <f>39.07</f>
        <v>39.07</v>
      </c>
      <c r="G7" s="34">
        <f>G8*0.0478</f>
        <v>49.867698940000004</v>
      </c>
      <c r="H7" s="34">
        <v>0</v>
      </c>
      <c r="I7" s="6">
        <f>F7-G7-H7</f>
        <v>-10.797698940000004</v>
      </c>
      <c r="J7" s="7">
        <f aca="true" t="shared" si="0" ref="J7:J25">I7/15407.4</f>
        <v>-0.0007008125277464079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879.96</f>
        <v>879.96</v>
      </c>
      <c r="G8" s="6">
        <f>421.3173+562.48+59.46</f>
        <v>1043.2573</v>
      </c>
      <c r="H8" s="6">
        <v>0</v>
      </c>
      <c r="I8" s="6">
        <f>F8-G8-H8</f>
        <v>-163.29729999999995</v>
      </c>
      <c r="J8" s="7">
        <f t="shared" si="0"/>
        <v>-0.010598627932032657</v>
      </c>
      <c r="L8" s="20"/>
    </row>
    <row r="9" spans="1:12" ht="15">
      <c r="A9" s="2">
        <v>3</v>
      </c>
      <c r="B9" s="3" t="s">
        <v>33</v>
      </c>
      <c r="C9" s="6" t="s">
        <v>46</v>
      </c>
      <c r="D9" s="5"/>
      <c r="E9" s="5"/>
      <c r="F9" s="6">
        <f>1688+142</f>
        <v>1830</v>
      </c>
      <c r="G9" s="6">
        <f>499.8733+824.21+80.1</f>
        <v>1404.1833</v>
      </c>
      <c r="H9" s="6">
        <v>84</v>
      </c>
      <c r="I9" s="6">
        <v>44.0064</v>
      </c>
      <c r="J9" s="7">
        <f t="shared" si="0"/>
        <v>0.002856185988550956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2709.96</v>
      </c>
      <c r="G10" s="6">
        <f>913.1707+1452.21+64.34+17.72</f>
        <v>2447.4407</v>
      </c>
      <c r="H10" s="6">
        <f>H8+H9</f>
        <v>84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12</v>
      </c>
      <c r="C11" s="6"/>
      <c r="D11" s="11">
        <v>35943</v>
      </c>
      <c r="E11" s="11">
        <v>36130</v>
      </c>
      <c r="F11" s="7">
        <f>(E11-D11)*1</f>
        <v>187</v>
      </c>
      <c r="G11" s="6">
        <v>0</v>
      </c>
      <c r="H11" s="6">
        <v>0</v>
      </c>
      <c r="I11" s="6">
        <f aca="true" t="shared" si="1" ref="I11:I22">F11-G11-H11</f>
        <v>187</v>
      </c>
      <c r="J11" s="7">
        <f t="shared" si="0"/>
        <v>0.012137025065877436</v>
      </c>
    </row>
    <row r="12" spans="1:10" ht="15">
      <c r="A12" s="50"/>
      <c r="B12" s="3" t="s">
        <v>13</v>
      </c>
      <c r="C12" s="6"/>
      <c r="D12" s="11">
        <v>45665</v>
      </c>
      <c r="E12" s="11">
        <v>45940</v>
      </c>
      <c r="F12" s="7">
        <f>(E12-D12)*1</f>
        <v>275</v>
      </c>
      <c r="G12" s="6">
        <v>0</v>
      </c>
      <c r="H12" s="6">
        <v>0</v>
      </c>
      <c r="I12" s="6">
        <f t="shared" si="1"/>
        <v>275</v>
      </c>
      <c r="J12" s="7">
        <f t="shared" si="0"/>
        <v>0.01784856627334917</v>
      </c>
    </row>
    <row r="13" spans="1:10" ht="15">
      <c r="A13" s="50"/>
      <c r="B13" s="3" t="s">
        <v>14</v>
      </c>
      <c r="C13" s="6"/>
      <c r="D13" s="11">
        <v>76650</v>
      </c>
      <c r="E13" s="11">
        <v>77150</v>
      </c>
      <c r="F13" s="7">
        <f>(E13-D13)*1</f>
        <v>500</v>
      </c>
      <c r="G13" s="6">
        <v>0</v>
      </c>
      <c r="H13" s="6">
        <v>0</v>
      </c>
      <c r="I13" s="6">
        <f t="shared" si="1"/>
        <v>500</v>
      </c>
      <c r="J13" s="7">
        <f t="shared" si="0"/>
        <v>0.032451938678816676</v>
      </c>
    </row>
    <row r="14" spans="1:10" ht="15">
      <c r="A14" s="50"/>
      <c r="B14" s="3" t="s">
        <v>15</v>
      </c>
      <c r="C14" s="6"/>
      <c r="D14" s="11">
        <v>78054</v>
      </c>
      <c r="E14" s="11">
        <v>78490</v>
      </c>
      <c r="F14" s="7">
        <f>(E14-D14)*1</f>
        <v>436</v>
      </c>
      <c r="G14" s="6">
        <v>0</v>
      </c>
      <c r="H14" s="6">
        <v>0</v>
      </c>
      <c r="I14" s="6">
        <f t="shared" si="1"/>
        <v>436</v>
      </c>
      <c r="J14" s="7">
        <f t="shared" si="0"/>
        <v>0.02829809052792814</v>
      </c>
    </row>
    <row r="15" spans="1:10" ht="15">
      <c r="A15" s="50"/>
      <c r="B15" s="3" t="s">
        <v>17</v>
      </c>
      <c r="C15" s="6"/>
      <c r="D15" s="11">
        <v>9593</v>
      </c>
      <c r="E15" s="11">
        <v>9650</v>
      </c>
      <c r="F15" s="7">
        <f>(E15-D15)*20</f>
        <v>1140</v>
      </c>
      <c r="G15" s="6">
        <v>0</v>
      </c>
      <c r="H15" s="6">
        <v>0</v>
      </c>
      <c r="I15" s="6">
        <f t="shared" si="1"/>
        <v>1140</v>
      </c>
      <c r="J15" s="7">
        <f t="shared" si="0"/>
        <v>0.07399042018770202</v>
      </c>
    </row>
    <row r="16" spans="1:10" ht="15">
      <c r="A16" s="50"/>
      <c r="B16" s="3" t="s">
        <v>16</v>
      </c>
      <c r="C16" s="6"/>
      <c r="D16" s="11">
        <v>10189</v>
      </c>
      <c r="E16" s="11">
        <v>10250</v>
      </c>
      <c r="F16" s="7">
        <f>(E16-D16)*20</f>
        <v>1220</v>
      </c>
      <c r="G16" s="6">
        <v>0</v>
      </c>
      <c r="H16" s="6">
        <v>0</v>
      </c>
      <c r="I16" s="6">
        <f t="shared" si="1"/>
        <v>1220</v>
      </c>
      <c r="J16" s="7">
        <f t="shared" si="0"/>
        <v>0.07918273037631268</v>
      </c>
    </row>
    <row r="17" spans="1:10" ht="15">
      <c r="A17" s="50"/>
      <c r="B17" s="3" t="s">
        <v>18</v>
      </c>
      <c r="C17" s="6"/>
      <c r="D17" s="11">
        <v>99626</v>
      </c>
      <c r="E17" s="11">
        <v>100500</v>
      </c>
      <c r="F17" s="7">
        <f aca="true" t="shared" si="2" ref="F17:F22">(E17-D17)*1</f>
        <v>874</v>
      </c>
      <c r="G17" s="6">
        <v>0</v>
      </c>
      <c r="H17" s="6">
        <v>0</v>
      </c>
      <c r="I17" s="6">
        <f t="shared" si="1"/>
        <v>874</v>
      </c>
      <c r="J17" s="7">
        <f t="shared" si="0"/>
        <v>0.056725988810571545</v>
      </c>
    </row>
    <row r="18" spans="1:10" ht="15">
      <c r="A18" s="50"/>
      <c r="B18" s="3" t="s">
        <v>19</v>
      </c>
      <c r="C18" s="6"/>
      <c r="D18" s="11">
        <v>107100</v>
      </c>
      <c r="E18" s="11">
        <v>108020</v>
      </c>
      <c r="F18" s="7">
        <f t="shared" si="2"/>
        <v>920</v>
      </c>
      <c r="G18" s="6">
        <v>0</v>
      </c>
      <c r="H18" s="6">
        <v>0</v>
      </c>
      <c r="I18" s="6">
        <f t="shared" si="1"/>
        <v>920</v>
      </c>
      <c r="J18" s="7">
        <f t="shared" si="0"/>
        <v>0.05971156716902268</v>
      </c>
    </row>
    <row r="19" spans="1:10" ht="15">
      <c r="A19" s="50"/>
      <c r="B19" s="3" t="s">
        <v>20</v>
      </c>
      <c r="C19" s="6"/>
      <c r="D19" s="11">
        <v>52354</v>
      </c>
      <c r="E19" s="11">
        <v>52530</v>
      </c>
      <c r="F19" s="7">
        <f t="shared" si="2"/>
        <v>176</v>
      </c>
      <c r="G19" s="6">
        <v>0</v>
      </c>
      <c r="H19" s="6">
        <v>0</v>
      </c>
      <c r="I19" s="6">
        <f t="shared" si="1"/>
        <v>176</v>
      </c>
      <c r="J19" s="7">
        <f t="shared" si="0"/>
        <v>0.01142308241494347</v>
      </c>
    </row>
    <row r="20" spans="1:10" ht="15">
      <c r="A20" s="50"/>
      <c r="B20" s="3" t="s">
        <v>21</v>
      </c>
      <c r="C20" s="6"/>
      <c r="D20" s="11">
        <v>59170</v>
      </c>
      <c r="E20" s="11">
        <v>59400</v>
      </c>
      <c r="F20" s="7">
        <f t="shared" si="2"/>
        <v>230</v>
      </c>
      <c r="G20" s="6">
        <v>0</v>
      </c>
      <c r="H20" s="6">
        <v>0</v>
      </c>
      <c r="I20" s="6">
        <f t="shared" si="1"/>
        <v>230</v>
      </c>
      <c r="J20" s="7">
        <f t="shared" si="0"/>
        <v>0.01492789179225567</v>
      </c>
    </row>
    <row r="21" spans="1:10" ht="15">
      <c r="A21" s="50"/>
      <c r="B21" s="3" t="s">
        <v>22</v>
      </c>
      <c r="C21" s="6"/>
      <c r="D21" s="11">
        <v>13767</v>
      </c>
      <c r="E21" s="11">
        <v>13860</v>
      </c>
      <c r="F21" s="7">
        <f t="shared" si="2"/>
        <v>93</v>
      </c>
      <c r="G21" s="6">
        <v>0</v>
      </c>
      <c r="H21" s="6">
        <v>0</v>
      </c>
      <c r="I21" s="6">
        <f t="shared" si="1"/>
        <v>93</v>
      </c>
      <c r="J21" s="7">
        <f t="shared" si="0"/>
        <v>0.006036060594259901</v>
      </c>
    </row>
    <row r="22" spans="1:10" ht="15">
      <c r="A22" s="50"/>
      <c r="B22" s="3" t="s">
        <v>23</v>
      </c>
      <c r="C22" s="6"/>
      <c r="D22" s="11">
        <v>30963</v>
      </c>
      <c r="E22" s="11">
        <v>31240</v>
      </c>
      <c r="F22" s="7">
        <f t="shared" si="2"/>
        <v>277</v>
      </c>
      <c r="G22" s="6">
        <v>0</v>
      </c>
      <c r="H22" s="6">
        <v>0</v>
      </c>
      <c r="I22" s="6">
        <f t="shared" si="1"/>
        <v>277</v>
      </c>
      <c r="J22" s="7">
        <f t="shared" si="0"/>
        <v>0.017978374028064438</v>
      </c>
    </row>
    <row r="23" spans="1:12" ht="15">
      <c r="A23" s="59"/>
      <c r="B23" s="35" t="s">
        <v>11</v>
      </c>
      <c r="C23" s="35"/>
      <c r="D23" s="8"/>
      <c r="E23" s="35"/>
      <c r="F23" s="36">
        <f>SUM(F11:F22)</f>
        <v>6328</v>
      </c>
      <c r="G23" s="36">
        <f>SUM(G11:G22)</f>
        <v>0</v>
      </c>
      <c r="H23" s="36">
        <f>SUM(H11:H22)</f>
        <v>0</v>
      </c>
      <c r="I23" s="36">
        <f>SUM(I11:I22)</f>
        <v>6328</v>
      </c>
      <c r="J23" s="7">
        <f t="shared" si="0"/>
        <v>0.4107117359191038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37">
        <f aca="true" t="shared" si="3" ref="F24:I25">F11+F13+F15+F17+F19+F21</f>
        <v>2970</v>
      </c>
      <c r="G24" s="37">
        <f t="shared" si="3"/>
        <v>0</v>
      </c>
      <c r="H24" s="37">
        <f t="shared" si="3"/>
        <v>0</v>
      </c>
      <c r="I24" s="37">
        <f t="shared" si="3"/>
        <v>2970</v>
      </c>
      <c r="J24" s="7">
        <f t="shared" si="0"/>
        <v>0.19276451575217105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3358</v>
      </c>
      <c r="G25" s="19">
        <f t="shared" si="3"/>
        <v>0</v>
      </c>
      <c r="H25" s="19">
        <f t="shared" si="3"/>
        <v>0</v>
      </c>
      <c r="I25" s="19">
        <f t="shared" si="3"/>
        <v>3358</v>
      </c>
      <c r="J25" s="7">
        <f t="shared" si="0"/>
        <v>0.21794722016693277</v>
      </c>
    </row>
  </sheetData>
  <sheetProtection/>
  <mergeCells count="11">
    <mergeCell ref="H5:H6"/>
    <mergeCell ref="I5:I6"/>
    <mergeCell ref="J5:J6"/>
    <mergeCell ref="A11:A23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25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1" sqref="A11:A23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21.421875" style="0" customWidth="1"/>
    <col min="4" max="4" width="15.140625" style="0" customWidth="1"/>
    <col min="5" max="5" width="14.421875" style="0" customWidth="1"/>
    <col min="6" max="6" width="14.8515625" style="0" customWidth="1"/>
    <col min="7" max="7" width="16.7109375" style="0" customWidth="1"/>
    <col min="8" max="8" width="15.140625" style="0" customWidth="1"/>
    <col min="9" max="9" width="12.421875" style="0" customWidth="1"/>
    <col min="10" max="10" width="11.7109375" style="0" customWidth="1"/>
    <col min="11" max="11" width="9.57421875" style="0" bestFit="1" customWidth="1"/>
  </cols>
  <sheetData>
    <row r="3" ht="15.75">
      <c r="C3" s="27" t="s">
        <v>47</v>
      </c>
    </row>
    <row r="4" spans="1:10" ht="15">
      <c r="A4" s="52" t="s">
        <v>6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69.75" customHeight="1">
      <c r="A5" s="53" t="s">
        <v>0</v>
      </c>
      <c r="B5" s="55" t="s">
        <v>1</v>
      </c>
      <c r="C5" s="53" t="s">
        <v>2</v>
      </c>
      <c r="D5" s="57" t="s">
        <v>5</v>
      </c>
      <c r="E5" s="58"/>
      <c r="F5" s="53" t="s">
        <v>26</v>
      </c>
      <c r="G5" s="53" t="s">
        <v>27</v>
      </c>
      <c r="H5" s="53" t="s">
        <v>28</v>
      </c>
      <c r="I5" s="53" t="s">
        <v>3</v>
      </c>
      <c r="J5" s="55" t="s">
        <v>4</v>
      </c>
    </row>
    <row r="6" spans="1:10" ht="31.5" customHeight="1">
      <c r="A6" s="54"/>
      <c r="B6" s="56"/>
      <c r="C6" s="54"/>
      <c r="D6" s="28" t="s">
        <v>9</v>
      </c>
      <c r="E6" s="29" t="s">
        <v>10</v>
      </c>
      <c r="F6" s="54"/>
      <c r="G6" s="54"/>
      <c r="H6" s="54"/>
      <c r="I6" s="54"/>
      <c r="J6" s="56"/>
    </row>
    <row r="7" spans="1:12" ht="15">
      <c r="A7" s="30">
        <v>1</v>
      </c>
      <c r="B7" s="31" t="s">
        <v>37</v>
      </c>
      <c r="C7" s="30"/>
      <c r="D7" s="32"/>
      <c r="E7" s="33"/>
      <c r="F7" s="30">
        <f>69.42</f>
        <v>69.42</v>
      </c>
      <c r="G7" s="34">
        <f>G8*0.0478</f>
        <v>66.66082362</v>
      </c>
      <c r="H7" s="34">
        <v>0</v>
      </c>
      <c r="I7" s="6">
        <f>44.0064*0.0478</f>
        <v>2.10350592</v>
      </c>
      <c r="J7" s="7">
        <f aca="true" t="shared" si="0" ref="J7:J25">I7/15407.4</f>
        <v>0.0001365256902527357</v>
      </c>
      <c r="L7" s="20"/>
    </row>
    <row r="8" spans="1:12" ht="15">
      <c r="A8" s="2">
        <v>2</v>
      </c>
      <c r="B8" s="3" t="s">
        <v>7</v>
      </c>
      <c r="C8" s="7"/>
      <c r="D8" s="5"/>
      <c r="E8" s="5"/>
      <c r="F8" s="7">
        <f>1030.18</f>
        <v>1030.18</v>
      </c>
      <c r="G8" s="6">
        <f>490.6429+651.78+252.155</f>
        <v>1394.5779</v>
      </c>
      <c r="H8" s="6">
        <v>0</v>
      </c>
      <c r="I8" s="6">
        <f>F8-G8-H8</f>
        <v>-364.39789999999994</v>
      </c>
      <c r="J8" s="7">
        <f t="shared" si="0"/>
        <v>-0.023650836610979137</v>
      </c>
      <c r="L8" s="20"/>
    </row>
    <row r="9" spans="1:12" ht="15">
      <c r="A9" s="2">
        <v>3</v>
      </c>
      <c r="B9" s="3" t="s">
        <v>33</v>
      </c>
      <c r="C9" s="6" t="s">
        <v>48</v>
      </c>
      <c r="D9" s="5"/>
      <c r="E9" s="5"/>
      <c r="F9" s="6">
        <f>1546+123</f>
        <v>1669</v>
      </c>
      <c r="G9" s="6">
        <f>496.421+856.618+200.781</f>
        <v>1553.82</v>
      </c>
      <c r="H9" s="6">
        <f>110</f>
        <v>110</v>
      </c>
      <c r="I9" s="6">
        <f>F9-G9-H9</f>
        <v>5.180000000000064</v>
      </c>
      <c r="J9" s="7">
        <f t="shared" si="0"/>
        <v>0.0003362020847125449</v>
      </c>
      <c r="L9" s="20"/>
    </row>
    <row r="10" spans="1:10" ht="15">
      <c r="A10" s="2">
        <v>4</v>
      </c>
      <c r="B10" s="3" t="s">
        <v>8</v>
      </c>
      <c r="C10" s="6"/>
      <c r="D10" s="5"/>
      <c r="E10" s="5"/>
      <c r="F10" s="6">
        <f>F8+F9</f>
        <v>2699.1800000000003</v>
      </c>
      <c r="G10" s="6">
        <f>906.8639+1524.938+368.046+147.83+0.72</f>
        <v>2948.3978999999995</v>
      </c>
      <c r="H10" s="6">
        <f>H8+H9</f>
        <v>110</v>
      </c>
      <c r="I10" s="6">
        <v>0</v>
      </c>
      <c r="J10" s="7">
        <f t="shared" si="0"/>
        <v>0</v>
      </c>
    </row>
    <row r="11" spans="1:10" ht="15">
      <c r="A11" s="39">
        <v>5</v>
      </c>
      <c r="B11" s="3" t="s">
        <v>12</v>
      </c>
      <c r="C11" s="6"/>
      <c r="D11" s="11">
        <v>36130</v>
      </c>
      <c r="E11" s="11">
        <v>36553</v>
      </c>
      <c r="F11" s="7">
        <f>(E11-D11)*1</f>
        <v>423</v>
      </c>
      <c r="G11" s="6">
        <v>0</v>
      </c>
      <c r="H11" s="6">
        <v>0</v>
      </c>
      <c r="I11" s="6">
        <f aca="true" t="shared" si="1" ref="I11:I22">F11-G11-H11</f>
        <v>423</v>
      </c>
      <c r="J11" s="7">
        <f t="shared" si="0"/>
        <v>0.027454340122278906</v>
      </c>
    </row>
    <row r="12" spans="1:10" ht="15">
      <c r="A12" s="50"/>
      <c r="B12" s="3" t="s">
        <v>13</v>
      </c>
      <c r="C12" s="6"/>
      <c r="D12" s="11">
        <v>45940</v>
      </c>
      <c r="E12" s="11">
        <v>46139</v>
      </c>
      <c r="F12" s="7">
        <f>(E12-D12)*1</f>
        <v>199</v>
      </c>
      <c r="G12" s="6">
        <v>0</v>
      </c>
      <c r="H12" s="6">
        <v>0</v>
      </c>
      <c r="I12" s="6">
        <f t="shared" si="1"/>
        <v>199</v>
      </c>
      <c r="J12" s="7">
        <f t="shared" si="0"/>
        <v>0.012915871594169036</v>
      </c>
    </row>
    <row r="13" spans="1:10" ht="15">
      <c r="A13" s="50"/>
      <c r="B13" s="3" t="s">
        <v>14</v>
      </c>
      <c r="C13" s="6"/>
      <c r="D13" s="11">
        <v>77150</v>
      </c>
      <c r="E13" s="11">
        <v>77968</v>
      </c>
      <c r="F13" s="7">
        <f>(E13-D13)*1</f>
        <v>818</v>
      </c>
      <c r="G13" s="6">
        <v>0</v>
      </c>
      <c r="H13" s="6">
        <v>0</v>
      </c>
      <c r="I13" s="6">
        <f t="shared" si="1"/>
        <v>818</v>
      </c>
      <c r="J13" s="7">
        <f t="shared" si="0"/>
        <v>0.05309137167854408</v>
      </c>
    </row>
    <row r="14" spans="1:10" ht="15">
      <c r="A14" s="50"/>
      <c r="B14" s="3" t="s">
        <v>15</v>
      </c>
      <c r="C14" s="6"/>
      <c r="D14" s="11">
        <v>78490</v>
      </c>
      <c r="E14" s="11">
        <v>78685</v>
      </c>
      <c r="F14" s="7">
        <f>(E14-D14)*1</f>
        <v>195</v>
      </c>
      <c r="G14" s="6">
        <v>0</v>
      </c>
      <c r="H14" s="6">
        <v>0</v>
      </c>
      <c r="I14" s="6">
        <f t="shared" si="1"/>
        <v>195</v>
      </c>
      <c r="J14" s="7">
        <f t="shared" si="0"/>
        <v>0.012656256084738502</v>
      </c>
    </row>
    <row r="15" spans="1:10" ht="15">
      <c r="A15" s="50"/>
      <c r="B15" s="3" t="s">
        <v>17</v>
      </c>
      <c r="C15" s="6"/>
      <c r="D15" s="11">
        <v>9650</v>
      </c>
      <c r="E15" s="11">
        <v>9727</v>
      </c>
      <c r="F15" s="7">
        <f>(E15-D15)*20</f>
        <v>1540</v>
      </c>
      <c r="G15" s="6">
        <v>0</v>
      </c>
      <c r="H15" s="6">
        <v>0</v>
      </c>
      <c r="I15" s="6">
        <f t="shared" si="1"/>
        <v>1540</v>
      </c>
      <c r="J15" s="7">
        <f t="shared" si="0"/>
        <v>0.09995197113075535</v>
      </c>
    </row>
    <row r="16" spans="1:10" ht="15">
      <c r="A16" s="50"/>
      <c r="B16" s="3" t="s">
        <v>16</v>
      </c>
      <c r="C16" s="6"/>
      <c r="D16" s="11">
        <v>10250</v>
      </c>
      <c r="E16" s="11">
        <v>10334</v>
      </c>
      <c r="F16" s="7">
        <f>(E16-D16)*20</f>
        <v>1680</v>
      </c>
      <c r="G16" s="6">
        <v>0</v>
      </c>
      <c r="H16" s="6">
        <v>0</v>
      </c>
      <c r="I16" s="6">
        <f t="shared" si="1"/>
        <v>1680</v>
      </c>
      <c r="J16" s="7">
        <f t="shared" si="0"/>
        <v>0.10903851396082402</v>
      </c>
    </row>
    <row r="17" spans="1:10" ht="15">
      <c r="A17" s="50"/>
      <c r="B17" s="3" t="s">
        <v>18</v>
      </c>
      <c r="C17" s="6"/>
      <c r="D17" s="11">
        <v>100500</v>
      </c>
      <c r="E17" s="11">
        <v>101584</v>
      </c>
      <c r="F17" s="7">
        <f aca="true" t="shared" si="2" ref="F17:F22">(E17-D17)*1</f>
        <v>1084</v>
      </c>
      <c r="G17" s="6">
        <v>0</v>
      </c>
      <c r="H17" s="6">
        <v>0</v>
      </c>
      <c r="I17" s="6">
        <f t="shared" si="1"/>
        <v>1084</v>
      </c>
      <c r="J17" s="7">
        <f t="shared" si="0"/>
        <v>0.07035580305567454</v>
      </c>
    </row>
    <row r="18" spans="1:10" ht="15">
      <c r="A18" s="50"/>
      <c r="B18" s="3" t="s">
        <v>19</v>
      </c>
      <c r="C18" s="6"/>
      <c r="D18" s="11">
        <v>108020</v>
      </c>
      <c r="E18" s="11">
        <v>108958</v>
      </c>
      <c r="F18" s="7">
        <f t="shared" si="2"/>
        <v>938</v>
      </c>
      <c r="G18" s="6">
        <v>0</v>
      </c>
      <c r="H18" s="6">
        <v>0</v>
      </c>
      <c r="I18" s="6">
        <f t="shared" si="1"/>
        <v>938</v>
      </c>
      <c r="J18" s="7">
        <f t="shared" si="0"/>
        <v>0.06087983696146008</v>
      </c>
    </row>
    <row r="19" spans="1:10" ht="15">
      <c r="A19" s="50"/>
      <c r="B19" s="3" t="s">
        <v>20</v>
      </c>
      <c r="C19" s="6"/>
      <c r="D19" s="11">
        <v>52530</v>
      </c>
      <c r="E19" s="11">
        <v>52739</v>
      </c>
      <c r="F19" s="7">
        <f t="shared" si="2"/>
        <v>209</v>
      </c>
      <c r="G19" s="6">
        <v>0</v>
      </c>
      <c r="H19" s="6">
        <v>0</v>
      </c>
      <c r="I19" s="6">
        <f t="shared" si="1"/>
        <v>209</v>
      </c>
      <c r="J19" s="7">
        <f t="shared" si="0"/>
        <v>0.01356491036774537</v>
      </c>
    </row>
    <row r="20" spans="1:10" ht="15">
      <c r="A20" s="50"/>
      <c r="B20" s="3" t="s">
        <v>21</v>
      </c>
      <c r="C20" s="6"/>
      <c r="D20" s="11">
        <v>59400</v>
      </c>
      <c r="E20" s="11">
        <v>59641</v>
      </c>
      <c r="F20" s="7">
        <f t="shared" si="2"/>
        <v>241</v>
      </c>
      <c r="G20" s="6">
        <v>0</v>
      </c>
      <c r="H20" s="6">
        <v>0</v>
      </c>
      <c r="I20" s="6">
        <f t="shared" si="1"/>
        <v>241</v>
      </c>
      <c r="J20" s="7">
        <f t="shared" si="0"/>
        <v>0.015641834443189638</v>
      </c>
    </row>
    <row r="21" spans="1:10" ht="15">
      <c r="A21" s="50"/>
      <c r="B21" s="3" t="s">
        <v>22</v>
      </c>
      <c r="C21" s="6"/>
      <c r="D21" s="11">
        <v>13860</v>
      </c>
      <c r="E21" s="11">
        <v>14000</v>
      </c>
      <c r="F21" s="7">
        <f t="shared" si="2"/>
        <v>140</v>
      </c>
      <c r="G21" s="6">
        <v>0</v>
      </c>
      <c r="H21" s="6">
        <v>0</v>
      </c>
      <c r="I21" s="6">
        <f t="shared" si="1"/>
        <v>140</v>
      </c>
      <c r="J21" s="7">
        <f t="shared" si="0"/>
        <v>0.009086542830068668</v>
      </c>
    </row>
    <row r="22" spans="1:10" ht="15">
      <c r="A22" s="50"/>
      <c r="B22" s="3" t="s">
        <v>23</v>
      </c>
      <c r="C22" s="6"/>
      <c r="D22" s="11">
        <v>31240</v>
      </c>
      <c r="E22" s="11">
        <v>31679</v>
      </c>
      <c r="F22" s="7">
        <f t="shared" si="2"/>
        <v>439</v>
      </c>
      <c r="G22" s="6">
        <v>0</v>
      </c>
      <c r="H22" s="6">
        <v>0</v>
      </c>
      <c r="I22" s="6">
        <f t="shared" si="1"/>
        <v>439</v>
      </c>
      <c r="J22" s="7">
        <f t="shared" si="0"/>
        <v>0.028492802160001038</v>
      </c>
    </row>
    <row r="23" spans="1:12" ht="15">
      <c r="A23" s="59"/>
      <c r="B23" s="35" t="s">
        <v>11</v>
      </c>
      <c r="C23" s="35"/>
      <c r="D23" s="8"/>
      <c r="E23" s="35"/>
      <c r="F23" s="36">
        <f>SUM(F11:F22)</f>
        <v>7906</v>
      </c>
      <c r="G23" s="36">
        <f>SUM(G11:G22)</f>
        <v>0</v>
      </c>
      <c r="H23" s="36">
        <f>SUM(H11:H22)</f>
        <v>0</v>
      </c>
      <c r="I23" s="36">
        <f>SUM(I11:I22)</f>
        <v>7906</v>
      </c>
      <c r="J23" s="7">
        <f t="shared" si="0"/>
        <v>0.5131300543894493</v>
      </c>
      <c r="K23" s="21"/>
      <c r="L23" s="20"/>
    </row>
    <row r="24" spans="1:12" ht="15">
      <c r="A24" s="1"/>
      <c r="B24" s="1"/>
      <c r="C24" s="1"/>
      <c r="D24" s="1"/>
      <c r="E24" s="1" t="s">
        <v>24</v>
      </c>
      <c r="F24" s="37">
        <f aca="true" t="shared" si="3" ref="F24:I25">F11+F13+F15+F17+F19+F21</f>
        <v>4214</v>
      </c>
      <c r="G24" s="37">
        <f t="shared" si="3"/>
        <v>0</v>
      </c>
      <c r="H24" s="37">
        <f t="shared" si="3"/>
        <v>0</v>
      </c>
      <c r="I24" s="37">
        <f t="shared" si="3"/>
        <v>4214</v>
      </c>
      <c r="J24" s="7">
        <f t="shared" si="0"/>
        <v>0.2735049391850669</v>
      </c>
      <c r="K24" s="21"/>
      <c r="L24" s="20"/>
    </row>
    <row r="25" spans="1:10" ht="15">
      <c r="A25" s="1"/>
      <c r="B25" s="1"/>
      <c r="C25" s="1"/>
      <c r="D25" s="1"/>
      <c r="E25" s="1" t="s">
        <v>25</v>
      </c>
      <c r="F25" s="19">
        <f t="shared" si="3"/>
        <v>3692</v>
      </c>
      <c r="G25" s="19">
        <f t="shared" si="3"/>
        <v>0</v>
      </c>
      <c r="H25" s="19">
        <f t="shared" si="3"/>
        <v>0</v>
      </c>
      <c r="I25" s="19">
        <f t="shared" si="3"/>
        <v>3692</v>
      </c>
      <c r="J25" s="7">
        <f t="shared" si="0"/>
        <v>0.23962511520438232</v>
      </c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23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2013-02-22T04:06:11Z</cp:lastPrinted>
  <dcterms:created xsi:type="dcterms:W3CDTF">2006-09-16T00:00:00Z</dcterms:created>
  <dcterms:modified xsi:type="dcterms:W3CDTF">2014-02-06T04:30:21Z</dcterms:modified>
  <cp:category/>
  <cp:version/>
  <cp:contentType/>
  <cp:contentStatus/>
</cp:coreProperties>
</file>