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8" activeTab="11"/>
  </bookViews>
  <sheets>
    <sheet name="61-1 (январь)" sheetId="1" r:id="rId1"/>
    <sheet name="61-1 (февраль)" sheetId="2" r:id="rId2"/>
    <sheet name="61-1 (март)" sheetId="3" r:id="rId3"/>
    <sheet name="61-1 (апрель)" sheetId="4" r:id="rId4"/>
    <sheet name="61-1 (май)" sheetId="5" r:id="rId5"/>
    <sheet name="61-1 (июнь)" sheetId="6" r:id="rId6"/>
    <sheet name="61-1 (июль)" sheetId="7" r:id="rId7"/>
    <sheet name="61-1 (август)" sheetId="8" r:id="rId8"/>
    <sheet name="61-1 (сентябрь)" sheetId="9" r:id="rId9"/>
    <sheet name="61-1 (октябрь)" sheetId="10" r:id="rId10"/>
    <sheet name="61-1 (ноябрь)" sheetId="11" r:id="rId11"/>
    <sheet name="61-1 (декабрь)" sheetId="12" r:id="rId12"/>
  </sheets>
  <definedNames/>
  <calcPr fullCalcOnLoad="1"/>
</workbook>
</file>

<file path=xl/sharedStrings.xml><?xml version="1.0" encoding="utf-8"?>
<sst xmlns="http://schemas.openxmlformats.org/spreadsheetml/2006/main" count="216" uniqueCount="40">
  <si>
    <t xml:space="preserve"> </t>
  </si>
  <si>
    <t>Услуга</t>
  </si>
  <si>
    <t xml:space="preserve">показания общедомового прибора учета </t>
  </si>
  <si>
    <t>начисление по индивидуальным приборам учета и нормативу</t>
  </si>
  <si>
    <t>начисление сторонним потребителям</t>
  </si>
  <si>
    <t>итого к предъявлению ОДН</t>
  </si>
  <si>
    <t>на 1 кв.м</t>
  </si>
  <si>
    <t>Викулова 61-1</t>
  </si>
  <si>
    <t>ГВС (тонн)</t>
  </si>
  <si>
    <t>водоотведение(тонн)</t>
  </si>
  <si>
    <t>объем потребления</t>
  </si>
  <si>
    <t>итого по эл.эн.</t>
  </si>
  <si>
    <t>ХВС (тонн)</t>
  </si>
  <si>
    <t>нагрев воды (Г.кал.)</t>
  </si>
  <si>
    <t>Общий объем эл.эн.день</t>
  </si>
  <si>
    <t>Общий объем эл.эн.ночь</t>
  </si>
  <si>
    <t>Объем коммунальных услуг по показаниям общедомовых приборов учета (ОДН) за январь в феврале 2016г.</t>
  </si>
  <si>
    <t>69571,/70362</t>
  </si>
  <si>
    <t>Объем коммунальных услуг по показаниям общедомовых приборов учета (ОДН) за февраль в марте 2016г.</t>
  </si>
  <si>
    <t>70362,/71081</t>
  </si>
  <si>
    <t>Объем коммунальных услуг по показаниям общедомовых приборов учета (ОДН) за март в апреле 2016г.</t>
  </si>
  <si>
    <t>71081,/71985</t>
  </si>
  <si>
    <t>Объем коммунальных услуг по показаниям общедомовых приборов учета (ОДН) за апрель в мае 2016г.</t>
  </si>
  <si>
    <t>71985,/72771</t>
  </si>
  <si>
    <t>Объем коммунальных услуг по показаниям общедомовых приборов учета (ОДН) за май в июне 2016г.</t>
  </si>
  <si>
    <t>72771,/73542</t>
  </si>
  <si>
    <t>Объем коммунальных услуг по показаниям общедомовых приборов учета (ОДН) за июнь в июле 2016г.</t>
  </si>
  <si>
    <t>73542,/74276</t>
  </si>
  <si>
    <t>Объем коммунальных услуг по показаниям общедомовых приборов учета (ОДН) за июль в августе 2016г.</t>
  </si>
  <si>
    <t>74276,/74891</t>
  </si>
  <si>
    <t>Объем коммунальных услуг по показаниям общедомовых приборов учета (ОДН) за август в сентябре 2016г.</t>
  </si>
  <si>
    <t>74891,/75691</t>
  </si>
  <si>
    <t>Объем коммунальных услуг по показаниям общедомовых приборов учета (ОДН) за сентябрь в октябрь 2016г.</t>
  </si>
  <si>
    <t>75691,/76486</t>
  </si>
  <si>
    <t>Объем коммунальных услуг по показаниям общедомовых приборов учета (ОДН) за октябрь в ноябре 2016г.</t>
  </si>
  <si>
    <t>76486 /77190</t>
  </si>
  <si>
    <t>Объем коммунальных услуг по показаниям общедомовых приборов учета (ОДН) за ноябрь в декабре 2016г.</t>
  </si>
  <si>
    <t>77190,/77989</t>
  </si>
  <si>
    <t>Объем коммунальных услуг по показаниям общедомовых приборов учета (ОДН) за декабрь в январе 2017г.</t>
  </si>
  <si>
    <t>77989,/78791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</si>
</sst>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0.0000"/>
  </numFmts>
  <fonts count="19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175" fontId="0" fillId="0" borderId="10" xfId="0" applyNumberForma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G8" sqref="G8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8.8515625" style="0" customWidth="1"/>
    <col min="4" max="4" width="15.57421875" style="0" customWidth="1"/>
    <col min="5" max="5" width="16.7109375" style="0" customWidth="1"/>
    <col min="6" max="6" width="17.00390625" style="0" customWidth="1"/>
    <col min="7" max="7" width="12.00390625" style="0" customWidth="1"/>
    <col min="8" max="8" width="11.8515625" style="0" customWidth="1"/>
    <col min="9" max="9" width="9.57421875" style="0" bestFit="1" customWidth="1"/>
  </cols>
  <sheetData>
    <row r="2" spans="1:8" ht="15.75" customHeight="1">
      <c r="A2" s="31"/>
      <c r="B2" s="26"/>
      <c r="C2" s="31"/>
      <c r="D2" s="31"/>
      <c r="E2" s="31"/>
      <c r="F2" s="31"/>
      <c r="G2" s="31"/>
      <c r="H2" s="26"/>
    </row>
    <row r="3" spans="1:8" ht="15">
      <c r="A3" s="31"/>
      <c r="B3" s="26"/>
      <c r="C3" s="31"/>
      <c r="D3" s="31"/>
      <c r="E3" s="31"/>
      <c r="F3" s="31"/>
      <c r="G3" s="31"/>
      <c r="H3" s="26"/>
    </row>
    <row r="4" spans="2:3" ht="15.75">
      <c r="B4" s="7" t="s">
        <v>16</v>
      </c>
      <c r="C4" s="7"/>
    </row>
    <row r="5" spans="1:8" ht="15">
      <c r="A5" s="27" t="s">
        <v>7</v>
      </c>
      <c r="B5" s="27"/>
      <c r="C5" s="27"/>
      <c r="D5" s="27"/>
      <c r="E5" s="27"/>
      <c r="F5" s="27"/>
      <c r="G5" s="27"/>
      <c r="H5" s="27"/>
    </row>
    <row r="6" spans="1:8" ht="78.75" customHeight="1">
      <c r="A6" s="22" t="s">
        <v>0</v>
      </c>
      <c r="B6" s="24" t="s">
        <v>1</v>
      </c>
      <c r="C6" s="22" t="s">
        <v>2</v>
      </c>
      <c r="D6" s="22" t="s">
        <v>10</v>
      </c>
      <c r="E6" s="22" t="s">
        <v>3</v>
      </c>
      <c r="F6" s="22" t="s">
        <v>4</v>
      </c>
      <c r="G6" s="22" t="s">
        <v>5</v>
      </c>
      <c r="H6" s="24" t="s">
        <v>6</v>
      </c>
    </row>
    <row r="7" spans="1:8" ht="15" customHeight="1">
      <c r="A7" s="23"/>
      <c r="B7" s="25"/>
      <c r="C7" s="23"/>
      <c r="D7" s="23"/>
      <c r="E7" s="23"/>
      <c r="F7" s="23"/>
      <c r="G7" s="23"/>
      <c r="H7" s="25"/>
    </row>
    <row r="8" spans="1:8" ht="15">
      <c r="A8" s="10">
        <v>1</v>
      </c>
      <c r="B8" s="11" t="s">
        <v>13</v>
      </c>
      <c r="C8" s="10"/>
      <c r="D8" s="12">
        <f>43.73</f>
        <v>43.73</v>
      </c>
      <c r="E8" s="12">
        <f>E9*0.0478+0.0018</f>
        <v>28.008048627400004</v>
      </c>
      <c r="F8" s="12">
        <v>0</v>
      </c>
      <c r="G8" s="15">
        <f>24.7104*0.0478-0.0008</f>
        <v>1.18035712</v>
      </c>
      <c r="H8" s="5">
        <f aca="true" t="shared" si="0" ref="H8:H13">G8/5903.94</f>
        <v>0.00019992701822850505</v>
      </c>
    </row>
    <row r="9" spans="1:8" ht="15">
      <c r="A9" s="2">
        <v>2</v>
      </c>
      <c r="B9" s="3" t="s">
        <v>8</v>
      </c>
      <c r="C9" s="5"/>
      <c r="D9" s="5">
        <f>495.7</f>
        <v>495.7</v>
      </c>
      <c r="E9" s="14">
        <f>359.6203-102.565517+309.28+19.57</f>
        <v>585.9047830000001</v>
      </c>
      <c r="F9" s="15">
        <v>0</v>
      </c>
      <c r="G9" s="15">
        <f>D9-E9-F9+6.6716</f>
        <v>-83.53318300000008</v>
      </c>
      <c r="H9" s="5">
        <f t="shared" si="0"/>
        <v>-0.014148718144154596</v>
      </c>
    </row>
    <row r="10" spans="1:8" ht="15">
      <c r="A10" s="2">
        <v>3</v>
      </c>
      <c r="B10" s="3" t="s">
        <v>12</v>
      </c>
      <c r="C10" s="6" t="s">
        <v>17</v>
      </c>
      <c r="D10" s="4">
        <f>70362-69571</f>
        <v>791</v>
      </c>
      <c r="E10" s="14">
        <f>319.8324-91.38069+484.86+23.29</f>
        <v>736.6017099999999</v>
      </c>
      <c r="F10" s="15">
        <v>0</v>
      </c>
      <c r="G10" s="15">
        <f>24.7104</f>
        <v>24.7104</v>
      </c>
      <c r="H10" s="5">
        <f t="shared" si="0"/>
        <v>0.004185408388296629</v>
      </c>
    </row>
    <row r="11" spans="1:8" ht="15">
      <c r="A11" s="2">
        <v>4</v>
      </c>
      <c r="B11" s="3" t="s">
        <v>9</v>
      </c>
      <c r="C11" s="6"/>
      <c r="D11" s="4">
        <f>D9+D10</f>
        <v>1286.7</v>
      </c>
      <c r="E11" s="14">
        <f>390.7565+695.39+83.97+126.78+7.46+18.15</f>
        <v>1322.5065000000002</v>
      </c>
      <c r="F11" s="15">
        <f>F9+F10</f>
        <v>0</v>
      </c>
      <c r="G11" s="15">
        <v>0</v>
      </c>
      <c r="H11" s="5">
        <f t="shared" si="0"/>
        <v>0</v>
      </c>
    </row>
    <row r="12" spans="1:8" ht="15">
      <c r="A12" s="28">
        <v>5</v>
      </c>
      <c r="B12" s="13" t="s">
        <v>14</v>
      </c>
      <c r="C12" s="6"/>
      <c r="D12" s="9">
        <f>15335</f>
        <v>15335</v>
      </c>
      <c r="E12" s="15">
        <f>15050</f>
        <v>15050</v>
      </c>
      <c r="F12" s="15">
        <v>0</v>
      </c>
      <c r="G12" s="15">
        <f>D12-E12-F12+0.0002</f>
        <v>285.0002</v>
      </c>
      <c r="H12" s="5">
        <f t="shared" si="0"/>
        <v>0.0482728821769869</v>
      </c>
    </row>
    <row r="13" spans="1:8" ht="15">
      <c r="A13" s="29"/>
      <c r="B13" s="13" t="s">
        <v>15</v>
      </c>
      <c r="C13" s="6"/>
      <c r="D13" s="9">
        <f>21987</f>
        <v>21987</v>
      </c>
      <c r="E13" s="15">
        <f>5720</f>
        <v>5720</v>
      </c>
      <c r="F13" s="15">
        <v>0</v>
      </c>
      <c r="G13" s="15">
        <f>6579-0.0005</f>
        <v>6578.9995</v>
      </c>
      <c r="H13" s="5">
        <f t="shared" si="0"/>
        <v>1.1143405082029967</v>
      </c>
    </row>
    <row r="14" spans="1:8" ht="15">
      <c r="A14" s="30"/>
      <c r="B14" s="8" t="s">
        <v>11</v>
      </c>
      <c r="C14" s="8"/>
      <c r="D14" s="4">
        <f>SUM(D12:D13)</f>
        <v>37322</v>
      </c>
      <c r="E14" s="14">
        <f>SUM(E12:E13)</f>
        <v>20770</v>
      </c>
      <c r="F14" s="14">
        <f>SUM(F12:F13)</f>
        <v>0</v>
      </c>
      <c r="G14" s="14">
        <f>SUM(G12:G13)</f>
        <v>6863.9997</v>
      </c>
      <c r="H14" s="5">
        <f>G14/5903.94</f>
        <v>1.1626133903799836</v>
      </c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</sheetData>
  <sheetProtection/>
  <mergeCells count="18">
    <mergeCell ref="A12:A14"/>
    <mergeCell ref="G2:G3"/>
    <mergeCell ref="E6:E7"/>
    <mergeCell ref="F6:F7"/>
    <mergeCell ref="A2:A3"/>
    <mergeCell ref="B2:B3"/>
    <mergeCell ref="C2:C3"/>
    <mergeCell ref="D2:D3"/>
    <mergeCell ref="E2:E3"/>
    <mergeCell ref="F2:F3"/>
    <mergeCell ref="G6:G7"/>
    <mergeCell ref="H6:H7"/>
    <mergeCell ref="H2:H3"/>
    <mergeCell ref="A5:H5"/>
    <mergeCell ref="A6:A7"/>
    <mergeCell ref="B6:B7"/>
    <mergeCell ref="C6:C7"/>
    <mergeCell ref="D6:D7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4" sqref="A4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8.8515625" style="0" customWidth="1"/>
    <col min="4" max="4" width="15.57421875" style="0" customWidth="1"/>
    <col min="5" max="5" width="16.7109375" style="0" customWidth="1"/>
    <col min="6" max="6" width="17.00390625" style="0" customWidth="1"/>
    <col min="7" max="7" width="12.00390625" style="0" customWidth="1"/>
    <col min="8" max="8" width="11.8515625" style="0" customWidth="1"/>
    <col min="9" max="9" width="9.57421875" style="0" bestFit="1" customWidth="1"/>
  </cols>
  <sheetData>
    <row r="2" spans="1:8" ht="15.75" customHeight="1">
      <c r="A2" s="31"/>
      <c r="B2" s="26"/>
      <c r="C2" s="31"/>
      <c r="D2" s="31"/>
      <c r="E2" s="31"/>
      <c r="F2" s="31"/>
      <c r="G2" s="31"/>
      <c r="H2" s="26"/>
    </row>
    <row r="3" spans="1:8" ht="15">
      <c r="A3" s="31"/>
      <c r="B3" s="26"/>
      <c r="C3" s="31"/>
      <c r="D3" s="31"/>
      <c r="E3" s="31"/>
      <c r="F3" s="31"/>
      <c r="G3" s="31"/>
      <c r="H3" s="26"/>
    </row>
    <row r="4" spans="2:3" ht="15.75">
      <c r="B4" s="7" t="s">
        <v>34</v>
      </c>
      <c r="C4" s="7"/>
    </row>
    <row r="5" spans="1:8" ht="15">
      <c r="A5" s="27" t="s">
        <v>7</v>
      </c>
      <c r="B5" s="27"/>
      <c r="C5" s="27"/>
      <c r="D5" s="27"/>
      <c r="E5" s="27"/>
      <c r="F5" s="27"/>
      <c r="G5" s="27"/>
      <c r="H5" s="27"/>
    </row>
    <row r="6" spans="1:8" ht="78.75" customHeight="1">
      <c r="A6" s="22" t="s">
        <v>0</v>
      </c>
      <c r="B6" s="24" t="s">
        <v>1</v>
      </c>
      <c r="C6" s="22" t="s">
        <v>2</v>
      </c>
      <c r="D6" s="22" t="s">
        <v>10</v>
      </c>
      <c r="E6" s="22" t="s">
        <v>3</v>
      </c>
      <c r="F6" s="22" t="s">
        <v>4</v>
      </c>
      <c r="G6" s="22" t="s">
        <v>5</v>
      </c>
      <c r="H6" s="24" t="s">
        <v>6</v>
      </c>
    </row>
    <row r="7" spans="1:8" ht="15" customHeight="1">
      <c r="A7" s="23"/>
      <c r="B7" s="25"/>
      <c r="C7" s="23"/>
      <c r="D7" s="23"/>
      <c r="E7" s="23"/>
      <c r="F7" s="23"/>
      <c r="G7" s="23"/>
      <c r="H7" s="25"/>
    </row>
    <row r="8" spans="1:8" ht="15.75">
      <c r="A8" s="10">
        <v>1</v>
      </c>
      <c r="B8" s="11" t="s">
        <v>13</v>
      </c>
      <c r="C8" s="17"/>
      <c r="D8" s="18">
        <v>37.43</v>
      </c>
      <c r="E8" s="18">
        <f>23.2805+25.9663-6.651546+0.0004</f>
        <v>42.595653999999996</v>
      </c>
      <c r="F8" s="19">
        <v>0</v>
      </c>
      <c r="G8" s="6">
        <f>D8-E8-F8+0.283</f>
        <v>-4.882653999999996</v>
      </c>
      <c r="H8" s="5">
        <f>G8/5903.74</f>
        <v>-0.0008270442126516405</v>
      </c>
    </row>
    <row r="9" spans="1:8" ht="15">
      <c r="A9" s="2">
        <v>2</v>
      </c>
      <c r="B9" s="3" t="s">
        <v>8</v>
      </c>
      <c r="C9" s="5"/>
      <c r="D9" s="20">
        <v>490.6</v>
      </c>
      <c r="E9" s="21">
        <f>308.55+344.38-88</f>
        <v>564.9300000000001</v>
      </c>
      <c r="F9" s="15">
        <v>0</v>
      </c>
      <c r="G9" s="6">
        <f>D9-E9-F9+4.252</f>
        <v>-70.07800000000005</v>
      </c>
      <c r="H9" s="5">
        <f aca="true" t="shared" si="0" ref="H9:H14">G9/5903.74</f>
        <v>-0.011870102680673615</v>
      </c>
    </row>
    <row r="10" spans="1:8" ht="15">
      <c r="A10" s="2">
        <v>3</v>
      </c>
      <c r="B10" s="3" t="s">
        <v>12</v>
      </c>
      <c r="C10" s="6" t="s">
        <v>35</v>
      </c>
      <c r="D10" s="6">
        <f>77190-76486</f>
        <v>704</v>
      </c>
      <c r="E10" s="4">
        <f>278.39+535.01-79.54</f>
        <v>733.86</v>
      </c>
      <c r="F10" s="15">
        <v>0</v>
      </c>
      <c r="G10" s="6">
        <f>D10-E10-F10+1.1775</f>
        <v>-28.682500000000015</v>
      </c>
      <c r="H10" s="5">
        <f t="shared" si="0"/>
        <v>-0.004858360971180983</v>
      </c>
    </row>
    <row r="11" spans="1:8" ht="15">
      <c r="A11" s="2">
        <v>4</v>
      </c>
      <c r="B11" s="3" t="s">
        <v>9</v>
      </c>
      <c r="C11" s="6"/>
      <c r="D11" s="4">
        <f>D9+D10</f>
        <v>1194.6</v>
      </c>
      <c r="E11" s="6">
        <f>496+806.87+154.84+8.62-167.54</f>
        <v>1298.7899999999997</v>
      </c>
      <c r="F11" s="15">
        <f>F9+F10</f>
        <v>0</v>
      </c>
      <c r="G11" s="6">
        <v>0</v>
      </c>
      <c r="H11" s="5">
        <f t="shared" si="0"/>
        <v>0</v>
      </c>
    </row>
    <row r="12" spans="1:8" ht="15">
      <c r="A12" s="28">
        <v>5</v>
      </c>
      <c r="B12" s="13" t="s">
        <v>14</v>
      </c>
      <c r="C12" s="6"/>
      <c r="D12" s="5">
        <v>14617</v>
      </c>
      <c r="E12" s="6">
        <f>17111-102</f>
        <v>17009</v>
      </c>
      <c r="F12" s="6">
        <v>0</v>
      </c>
      <c r="G12" s="6">
        <f>D12-E12-F12+0.0002</f>
        <v>-2391.9998</v>
      </c>
      <c r="H12" s="5">
        <f t="shared" si="0"/>
        <v>-0.40516686032921506</v>
      </c>
    </row>
    <row r="13" spans="1:8" ht="15">
      <c r="A13" s="29"/>
      <c r="B13" s="13" t="s">
        <v>15</v>
      </c>
      <c r="C13" s="6"/>
      <c r="D13" s="5">
        <v>12222</v>
      </c>
      <c r="E13" s="6">
        <f>4232</f>
        <v>4232</v>
      </c>
      <c r="F13" s="6">
        <v>0</v>
      </c>
      <c r="G13" s="6">
        <f>D13-E13-F13-0.0003</f>
        <v>7989.9997</v>
      </c>
      <c r="H13" s="5">
        <f t="shared" si="0"/>
        <v>1.353379332423176</v>
      </c>
    </row>
    <row r="14" spans="1:8" ht="15">
      <c r="A14" s="30"/>
      <c r="B14" s="8" t="s">
        <v>11</v>
      </c>
      <c r="C14" s="8"/>
      <c r="D14" s="4">
        <f>SUM(D12:D13)</f>
        <v>26839</v>
      </c>
      <c r="E14" s="4">
        <f>SUM(E12:E13)</f>
        <v>21241</v>
      </c>
      <c r="F14" s="4">
        <f>SUM(F12:F13)</f>
        <v>0</v>
      </c>
      <c r="G14" s="4">
        <f>SUM(G12:G13)</f>
        <v>5597.999900000001</v>
      </c>
      <c r="H14" s="5">
        <f t="shared" si="0"/>
        <v>0.948212472093961</v>
      </c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</sheetData>
  <sheetProtection/>
  <mergeCells count="18">
    <mergeCell ref="G6:G7"/>
    <mergeCell ref="H6:H7"/>
    <mergeCell ref="H2:H3"/>
    <mergeCell ref="A5:H5"/>
    <mergeCell ref="A6:A7"/>
    <mergeCell ref="B6:B7"/>
    <mergeCell ref="C6:C7"/>
    <mergeCell ref="D6:D7"/>
    <mergeCell ref="A12:A14"/>
    <mergeCell ref="G2:G3"/>
    <mergeCell ref="E6:E7"/>
    <mergeCell ref="F6:F7"/>
    <mergeCell ref="A2:A3"/>
    <mergeCell ref="B2:B3"/>
    <mergeCell ref="C2:C3"/>
    <mergeCell ref="D2:D3"/>
    <mergeCell ref="E2:E3"/>
    <mergeCell ref="F2:F3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6" sqref="B6:B7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8.8515625" style="0" customWidth="1"/>
    <col min="4" max="4" width="15.57421875" style="0" customWidth="1"/>
    <col min="5" max="5" width="16.7109375" style="0" customWidth="1"/>
    <col min="6" max="6" width="17.00390625" style="0" customWidth="1"/>
    <col min="7" max="7" width="12.00390625" style="0" customWidth="1"/>
    <col min="8" max="8" width="11.8515625" style="0" customWidth="1"/>
    <col min="9" max="9" width="9.57421875" style="0" bestFit="1" customWidth="1"/>
  </cols>
  <sheetData>
    <row r="2" spans="1:8" ht="15.75" customHeight="1">
      <c r="A2" s="31"/>
      <c r="B2" s="26"/>
      <c r="C2" s="31"/>
      <c r="D2" s="31"/>
      <c r="E2" s="31"/>
      <c r="F2" s="31"/>
      <c r="G2" s="31"/>
      <c r="H2" s="26"/>
    </row>
    <row r="3" spans="1:8" ht="15">
      <c r="A3" s="31"/>
      <c r="B3" s="26"/>
      <c r="C3" s="31"/>
      <c r="D3" s="31"/>
      <c r="E3" s="31"/>
      <c r="F3" s="31"/>
      <c r="G3" s="31"/>
      <c r="H3" s="26"/>
    </row>
    <row r="4" spans="2:3" ht="15.75">
      <c r="B4" s="7" t="s">
        <v>36</v>
      </c>
      <c r="C4" s="7"/>
    </row>
    <row r="5" spans="1:8" ht="15">
      <c r="A5" s="27" t="s">
        <v>7</v>
      </c>
      <c r="B5" s="27"/>
      <c r="C5" s="27"/>
      <c r="D5" s="27"/>
      <c r="E5" s="27"/>
      <c r="F5" s="27"/>
      <c r="G5" s="27"/>
      <c r="H5" s="27"/>
    </row>
    <row r="6" spans="1:8" ht="78.75" customHeight="1">
      <c r="A6" s="22" t="s">
        <v>0</v>
      </c>
      <c r="B6" s="24" t="s">
        <v>1</v>
      </c>
      <c r="C6" s="22" t="s">
        <v>2</v>
      </c>
      <c r="D6" s="22" t="s">
        <v>10</v>
      </c>
      <c r="E6" s="22" t="s">
        <v>3</v>
      </c>
      <c r="F6" s="22" t="s">
        <v>4</v>
      </c>
      <c r="G6" s="22" t="s">
        <v>5</v>
      </c>
      <c r="H6" s="24" t="s">
        <v>6</v>
      </c>
    </row>
    <row r="7" spans="1:8" ht="15" customHeight="1">
      <c r="A7" s="23"/>
      <c r="B7" s="25"/>
      <c r="C7" s="23"/>
      <c r="D7" s="23"/>
      <c r="E7" s="23"/>
      <c r="F7" s="23"/>
      <c r="G7" s="23"/>
      <c r="H7" s="25"/>
    </row>
    <row r="8" spans="1:8" ht="15.75">
      <c r="A8" s="10">
        <v>1</v>
      </c>
      <c r="B8" s="11" t="s">
        <v>13</v>
      </c>
      <c r="C8" s="17"/>
      <c r="D8" s="18">
        <f>38.22</f>
        <v>38.22</v>
      </c>
      <c r="E8" s="18">
        <f>24.8536-7.101+28.8132+0.0004</f>
        <v>46.566199999999995</v>
      </c>
      <c r="F8" s="19">
        <v>0</v>
      </c>
      <c r="G8" s="6">
        <f>D8-E8-F8+0.921</f>
        <v>-7.425199999999996</v>
      </c>
      <c r="H8" s="5">
        <f aca="true" t="shared" si="0" ref="H8:H14">G8/5899.28</f>
        <v>-0.0012586620740158115</v>
      </c>
    </row>
    <row r="9" spans="1:8" ht="15">
      <c r="A9" s="2">
        <v>2</v>
      </c>
      <c r="B9" s="3" t="s">
        <v>8</v>
      </c>
      <c r="C9" s="5"/>
      <c r="D9" s="20">
        <f>486.2</f>
        <v>486.2</v>
      </c>
      <c r="E9" s="21">
        <f>302.94-86.4+351.38</f>
        <v>567.92</v>
      </c>
      <c r="F9" s="15">
        <v>0</v>
      </c>
      <c r="G9" s="6">
        <f>D9-E9-F9+8.92</f>
        <v>-72.79999999999997</v>
      </c>
      <c r="H9" s="5">
        <f t="shared" si="0"/>
        <v>-0.012340489008828191</v>
      </c>
    </row>
    <row r="10" spans="1:8" ht="15">
      <c r="A10" s="2">
        <v>3</v>
      </c>
      <c r="B10" s="3" t="s">
        <v>12</v>
      </c>
      <c r="C10" s="6" t="s">
        <v>37</v>
      </c>
      <c r="D10" s="6">
        <f>77989-77190</f>
        <v>799</v>
      </c>
      <c r="E10" s="4">
        <f>271.6-77.6+554.82</f>
        <v>748.82</v>
      </c>
      <c r="F10" s="15">
        <v>0</v>
      </c>
      <c r="G10" s="6">
        <f>24.7104+0.0003</f>
        <v>24.7107</v>
      </c>
      <c r="H10" s="5">
        <f t="shared" si="0"/>
        <v>0.0041887654086600395</v>
      </c>
    </row>
    <row r="11" spans="1:8" ht="15">
      <c r="A11" s="2">
        <v>4</v>
      </c>
      <c r="B11" s="3" t="s">
        <v>9</v>
      </c>
      <c r="C11" s="6"/>
      <c r="D11" s="4">
        <f>D9+D10</f>
        <v>1285.2</v>
      </c>
      <c r="E11" s="6">
        <f>483.6-138.06+829.3+155.44-24+12.4-1.94</f>
        <v>1316.74</v>
      </c>
      <c r="F11" s="15">
        <f>F9+F10</f>
        <v>0</v>
      </c>
      <c r="G11" s="6">
        <v>0</v>
      </c>
      <c r="H11" s="5">
        <f t="shared" si="0"/>
        <v>0</v>
      </c>
    </row>
    <row r="12" spans="1:8" ht="15">
      <c r="A12" s="28">
        <v>5</v>
      </c>
      <c r="B12" s="13" t="s">
        <v>14</v>
      </c>
      <c r="C12" s="6"/>
      <c r="D12" s="5">
        <f>14375</f>
        <v>14375</v>
      </c>
      <c r="E12" s="6">
        <f>16581-181</f>
        <v>16400</v>
      </c>
      <c r="F12" s="6">
        <v>0</v>
      </c>
      <c r="G12" s="6">
        <f>D12-E12-F12-0.0002</f>
        <v>-2025.0002</v>
      </c>
      <c r="H12" s="5">
        <f t="shared" si="0"/>
        <v>-0.3432622625133915</v>
      </c>
    </row>
    <row r="13" spans="1:8" ht="15">
      <c r="A13" s="29"/>
      <c r="B13" s="13" t="s">
        <v>15</v>
      </c>
      <c r="C13" s="6"/>
      <c r="D13" s="5">
        <f>16263</f>
        <v>16263</v>
      </c>
      <c r="E13" s="6">
        <f>5886</f>
        <v>5886</v>
      </c>
      <c r="F13" s="6">
        <v>0</v>
      </c>
      <c r="G13" s="6">
        <f>D13-E13-F13-1488+0.0001</f>
        <v>8889.0001</v>
      </c>
      <c r="H13" s="5">
        <f t="shared" si="0"/>
        <v>1.506794066394543</v>
      </c>
    </row>
    <row r="14" spans="1:8" ht="15">
      <c r="A14" s="30"/>
      <c r="B14" s="8" t="s">
        <v>11</v>
      </c>
      <c r="C14" s="8"/>
      <c r="D14" s="4">
        <f>SUM(D12:D13)</f>
        <v>30638</v>
      </c>
      <c r="E14" s="4">
        <f>SUM(E12:E13)</f>
        <v>22286</v>
      </c>
      <c r="F14" s="4">
        <f>SUM(F12:F13)</f>
        <v>0</v>
      </c>
      <c r="G14" s="4">
        <f>SUM(G12:G13)</f>
        <v>6863.999899999999</v>
      </c>
      <c r="H14" s="5">
        <f t="shared" si="0"/>
        <v>1.1635318038811515</v>
      </c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</sheetData>
  <sheetProtection/>
  <mergeCells count="18">
    <mergeCell ref="A12:A14"/>
    <mergeCell ref="G2:G3"/>
    <mergeCell ref="E6:E7"/>
    <mergeCell ref="F6:F7"/>
    <mergeCell ref="A2:A3"/>
    <mergeCell ref="B2:B3"/>
    <mergeCell ref="C2:C3"/>
    <mergeCell ref="D2:D3"/>
    <mergeCell ref="E2:E3"/>
    <mergeCell ref="F2:F3"/>
    <mergeCell ref="G6:G7"/>
    <mergeCell ref="H6:H7"/>
    <mergeCell ref="H2:H3"/>
    <mergeCell ref="A5:H5"/>
    <mergeCell ref="A6:A7"/>
    <mergeCell ref="B6:B7"/>
    <mergeCell ref="C6:C7"/>
    <mergeCell ref="D6:D7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4" sqref="A4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8.8515625" style="0" customWidth="1"/>
    <col min="4" max="4" width="15.57421875" style="0" customWidth="1"/>
    <col min="5" max="5" width="16.7109375" style="0" customWidth="1"/>
    <col min="6" max="6" width="17.00390625" style="0" customWidth="1"/>
    <col min="7" max="7" width="12.00390625" style="0" customWidth="1"/>
    <col min="8" max="8" width="11.8515625" style="0" customWidth="1"/>
    <col min="9" max="9" width="9.57421875" style="0" bestFit="1" customWidth="1"/>
  </cols>
  <sheetData>
    <row r="2" spans="1:8" ht="15.75" customHeight="1">
      <c r="A2" s="31"/>
      <c r="B2" s="26"/>
      <c r="C2" s="31"/>
      <c r="D2" s="31"/>
      <c r="E2" s="31"/>
      <c r="F2" s="31"/>
      <c r="G2" s="31"/>
      <c r="H2" s="26"/>
    </row>
    <row r="3" spans="1:8" ht="15">
      <c r="A3" s="31"/>
      <c r="B3" s="26"/>
      <c r="C3" s="31"/>
      <c r="D3" s="31"/>
      <c r="E3" s="31"/>
      <c r="F3" s="31"/>
      <c r="G3" s="31"/>
      <c r="H3" s="26"/>
    </row>
    <row r="4" spans="2:3" ht="15.75">
      <c r="B4" s="7" t="s">
        <v>38</v>
      </c>
      <c r="C4" s="7"/>
    </row>
    <row r="5" spans="1:8" ht="15">
      <c r="A5" s="27" t="s">
        <v>7</v>
      </c>
      <c r="B5" s="27"/>
      <c r="C5" s="27"/>
      <c r="D5" s="27"/>
      <c r="E5" s="27"/>
      <c r="F5" s="27"/>
      <c r="G5" s="27"/>
      <c r="H5" s="27"/>
    </row>
    <row r="6" spans="1:8" ht="78.75" customHeight="1">
      <c r="A6" s="22" t="s">
        <v>0</v>
      </c>
      <c r="B6" s="24" t="s">
        <v>1</v>
      </c>
      <c r="C6" s="22" t="s">
        <v>2</v>
      </c>
      <c r="D6" s="22" t="s">
        <v>10</v>
      </c>
      <c r="E6" s="22" t="s">
        <v>3</v>
      </c>
      <c r="F6" s="22" t="s">
        <v>4</v>
      </c>
      <c r="G6" s="22" t="s">
        <v>5</v>
      </c>
      <c r="H6" s="24" t="s">
        <v>6</v>
      </c>
    </row>
    <row r="7" spans="1:8" ht="15" customHeight="1">
      <c r="A7" s="23"/>
      <c r="B7" s="25"/>
      <c r="C7" s="23"/>
      <c r="D7" s="23"/>
      <c r="E7" s="23"/>
      <c r="F7" s="23"/>
      <c r="G7" s="23"/>
      <c r="H7" s="25"/>
    </row>
    <row r="8" spans="1:8" ht="15.75">
      <c r="A8" s="10">
        <v>1</v>
      </c>
      <c r="B8" s="11" t="s">
        <v>13</v>
      </c>
      <c r="C8" s="17"/>
      <c r="D8" s="18">
        <f>40.08</f>
        <v>40.08</v>
      </c>
      <c r="E8" s="18">
        <f>26.5867+20.228-8.862249</f>
        <v>37.952451</v>
      </c>
      <c r="F8" s="19">
        <v>0</v>
      </c>
      <c r="G8" s="6">
        <f>D8-E8-F8+0.0004</f>
        <v>2.1279489999999948</v>
      </c>
      <c r="H8" s="5">
        <f>G8/5788.02</f>
        <v>0.0003676471401273656</v>
      </c>
    </row>
    <row r="9" spans="1:8" ht="15">
      <c r="A9" s="2">
        <v>2</v>
      </c>
      <c r="B9" s="3" t="s">
        <v>8</v>
      </c>
      <c r="C9" s="5"/>
      <c r="D9" s="20">
        <f>483.8</f>
        <v>483.8</v>
      </c>
      <c r="E9" s="21">
        <f>306.51+233.31-102</f>
        <v>437.81999999999994</v>
      </c>
      <c r="F9" s="6">
        <v>0</v>
      </c>
      <c r="G9" s="6">
        <f>24.7104+0.0002</f>
        <v>24.7106</v>
      </c>
      <c r="H9" s="5">
        <f aca="true" t="shared" si="0" ref="H9:H14">G9/5788.02</f>
        <v>0.004269266519466069</v>
      </c>
    </row>
    <row r="10" spans="1:8" ht="15">
      <c r="A10" s="2">
        <v>3</v>
      </c>
      <c r="B10" s="3" t="s">
        <v>12</v>
      </c>
      <c r="C10" s="6" t="s">
        <v>39</v>
      </c>
      <c r="D10" s="6">
        <f>78791-77989</f>
        <v>802</v>
      </c>
      <c r="E10" s="4">
        <f>298.07+559.04-99.22</f>
        <v>757.8899999999999</v>
      </c>
      <c r="F10" s="6">
        <v>0</v>
      </c>
      <c r="G10" s="6">
        <f>24.7104+0.0002</f>
        <v>24.7106</v>
      </c>
      <c r="H10" s="5">
        <f t="shared" si="0"/>
        <v>0.004269266519466069</v>
      </c>
    </row>
    <row r="11" spans="1:8" ht="15">
      <c r="A11" s="2">
        <v>4</v>
      </c>
      <c r="B11" s="3" t="s">
        <v>9</v>
      </c>
      <c r="C11" s="6"/>
      <c r="D11" s="4">
        <f>D9+D10</f>
        <v>1285.8</v>
      </c>
      <c r="E11" s="6">
        <f>504.64+884.52+139.95-132.18-167.96-26-7.26</f>
        <v>1195.7099999999998</v>
      </c>
      <c r="F11" s="15">
        <f>F9+F10</f>
        <v>0</v>
      </c>
      <c r="G11" s="6">
        <v>0</v>
      </c>
      <c r="H11" s="5">
        <f t="shared" si="0"/>
        <v>0</v>
      </c>
    </row>
    <row r="12" spans="1:8" ht="15">
      <c r="A12" s="28">
        <v>5</v>
      </c>
      <c r="B12" s="13" t="s">
        <v>14</v>
      </c>
      <c r="C12" s="6"/>
      <c r="D12" s="5">
        <f>13577</f>
        <v>13577</v>
      </c>
      <c r="E12" s="6">
        <f>13317-307</f>
        <v>13010</v>
      </c>
      <c r="F12" s="6">
        <v>0</v>
      </c>
      <c r="G12" s="6">
        <f>D12-E12-F12-0.0005</f>
        <v>566.9995</v>
      </c>
      <c r="H12" s="5">
        <f t="shared" si="0"/>
        <v>0.09796087435772509</v>
      </c>
    </row>
    <row r="13" spans="1:8" ht="15">
      <c r="A13" s="29"/>
      <c r="B13" s="13" t="s">
        <v>15</v>
      </c>
      <c r="C13" s="6"/>
      <c r="D13" s="5">
        <f>10769</f>
        <v>10769</v>
      </c>
      <c r="E13" s="6">
        <f>6099</f>
        <v>6099</v>
      </c>
      <c r="F13" s="6">
        <v>0</v>
      </c>
      <c r="G13" s="6">
        <f>D13-E13-F13+0.0001</f>
        <v>4670.0001</v>
      </c>
      <c r="H13" s="5">
        <f t="shared" si="0"/>
        <v>0.806838970839769</v>
      </c>
    </row>
    <row r="14" spans="1:8" ht="15">
      <c r="A14" s="30"/>
      <c r="B14" s="8" t="s">
        <v>11</v>
      </c>
      <c r="C14" s="8"/>
      <c r="D14" s="4">
        <f>SUM(D12:D13)</f>
        <v>24346</v>
      </c>
      <c r="E14" s="4">
        <f>SUM(E12:E13)</f>
        <v>19109</v>
      </c>
      <c r="F14" s="4">
        <f>SUM(F12:F13)</f>
        <v>0</v>
      </c>
      <c r="G14" s="4">
        <f>SUM(G12:G13)</f>
        <v>5236.9996</v>
      </c>
      <c r="H14" s="5">
        <f t="shared" si="0"/>
        <v>0.9047998451974941</v>
      </c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</sheetData>
  <sheetProtection/>
  <mergeCells count="18">
    <mergeCell ref="G6:G7"/>
    <mergeCell ref="H6:H7"/>
    <mergeCell ref="H2:H3"/>
    <mergeCell ref="A5:H5"/>
    <mergeCell ref="A6:A7"/>
    <mergeCell ref="B6:B7"/>
    <mergeCell ref="C6:C7"/>
    <mergeCell ref="D6:D7"/>
    <mergeCell ref="A12:A14"/>
    <mergeCell ref="G2:G3"/>
    <mergeCell ref="E6:E7"/>
    <mergeCell ref="F6:F7"/>
    <mergeCell ref="A2:A3"/>
    <mergeCell ref="B2:B3"/>
    <mergeCell ref="C2:C3"/>
    <mergeCell ref="D2:D3"/>
    <mergeCell ref="E2:E3"/>
    <mergeCell ref="F2:F3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6" sqref="C6:C7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8.8515625" style="0" customWidth="1"/>
    <col min="4" max="4" width="15.57421875" style="0" customWidth="1"/>
    <col min="5" max="5" width="16.7109375" style="0" customWidth="1"/>
    <col min="6" max="6" width="17.00390625" style="0" customWidth="1"/>
    <col min="7" max="7" width="12.00390625" style="0" customWidth="1"/>
    <col min="8" max="8" width="11.8515625" style="0" customWidth="1"/>
    <col min="9" max="9" width="9.57421875" style="0" bestFit="1" customWidth="1"/>
  </cols>
  <sheetData>
    <row r="2" spans="1:8" ht="15.75" customHeight="1">
      <c r="A2" s="31"/>
      <c r="B2" s="26"/>
      <c r="C2" s="31"/>
      <c r="D2" s="31"/>
      <c r="E2" s="31"/>
      <c r="F2" s="31"/>
      <c r="G2" s="31"/>
      <c r="H2" s="26"/>
    </row>
    <row r="3" spans="1:8" ht="15">
      <c r="A3" s="31"/>
      <c r="B3" s="26"/>
      <c r="C3" s="31"/>
      <c r="D3" s="31"/>
      <c r="E3" s="31"/>
      <c r="F3" s="31"/>
      <c r="G3" s="31"/>
      <c r="H3" s="26"/>
    </row>
    <row r="4" spans="2:3" ht="15.75">
      <c r="B4" s="7" t="s">
        <v>18</v>
      </c>
      <c r="C4" s="7"/>
    </row>
    <row r="5" spans="1:8" ht="15">
      <c r="A5" s="27" t="s">
        <v>7</v>
      </c>
      <c r="B5" s="27"/>
      <c r="C5" s="27"/>
      <c r="D5" s="27"/>
      <c r="E5" s="27"/>
      <c r="F5" s="27"/>
      <c r="G5" s="27"/>
      <c r="H5" s="27"/>
    </row>
    <row r="6" spans="1:8" ht="78.75" customHeight="1">
      <c r="A6" s="22" t="s">
        <v>0</v>
      </c>
      <c r="B6" s="24" t="s">
        <v>1</v>
      </c>
      <c r="C6" s="22" t="s">
        <v>2</v>
      </c>
      <c r="D6" s="22" t="s">
        <v>10</v>
      </c>
      <c r="E6" s="22" t="s">
        <v>3</v>
      </c>
      <c r="F6" s="22" t="s">
        <v>4</v>
      </c>
      <c r="G6" s="22" t="s">
        <v>5</v>
      </c>
      <c r="H6" s="24" t="s">
        <v>6</v>
      </c>
    </row>
    <row r="7" spans="1:8" ht="15" customHeight="1">
      <c r="A7" s="23"/>
      <c r="B7" s="25"/>
      <c r="C7" s="23"/>
      <c r="D7" s="23"/>
      <c r="E7" s="23"/>
      <c r="F7" s="23"/>
      <c r="G7" s="23"/>
      <c r="H7" s="25"/>
    </row>
    <row r="8" spans="1:8" ht="15">
      <c r="A8" s="10">
        <v>1</v>
      </c>
      <c r="B8" s="11" t="s">
        <v>13</v>
      </c>
      <c r="C8" s="10"/>
      <c r="D8" s="12">
        <f>39.27</f>
        <v>39.27</v>
      </c>
      <c r="E8" s="12">
        <f>E9*0.0478+0.0012</f>
        <v>29.064663310999997</v>
      </c>
      <c r="F8" s="12">
        <v>0</v>
      </c>
      <c r="G8" s="15">
        <f>24.7104*0.0478-0.0008</f>
        <v>1.18035712</v>
      </c>
      <c r="H8" s="5">
        <f aca="true" t="shared" si="0" ref="H8:H13">G8/5903.94</f>
        <v>0.00019992701822850505</v>
      </c>
    </row>
    <row r="9" spans="1:8" ht="15">
      <c r="A9" s="2">
        <v>2</v>
      </c>
      <c r="B9" s="3" t="s">
        <v>8</v>
      </c>
      <c r="C9" s="5"/>
      <c r="D9" s="5">
        <f>458.7</f>
        <v>458.7</v>
      </c>
      <c r="E9" s="14">
        <f>327.5516-93.419355+348.58+25.31</f>
        <v>608.0222449999999</v>
      </c>
      <c r="F9" s="15">
        <v>0</v>
      </c>
      <c r="G9" s="15">
        <f>D9-E9-F9+13.2014</f>
        <v>-136.1208449999999</v>
      </c>
      <c r="H9" s="5">
        <f t="shared" si="0"/>
        <v>-0.023055932987123835</v>
      </c>
    </row>
    <row r="10" spans="1:8" ht="15">
      <c r="A10" s="2">
        <v>3</v>
      </c>
      <c r="B10" s="3" t="s">
        <v>12</v>
      </c>
      <c r="C10" s="6" t="s">
        <v>19</v>
      </c>
      <c r="D10" s="4">
        <f>71081-70362</f>
        <v>719</v>
      </c>
      <c r="E10" s="14">
        <f>305.55-87.3+516.4+16.54</f>
        <v>751.1899999999999</v>
      </c>
      <c r="F10" s="15">
        <v>0</v>
      </c>
      <c r="G10" s="15">
        <f>D10-E10-F10+0.3005</f>
        <v>-31.88949999999994</v>
      </c>
      <c r="H10" s="5">
        <f t="shared" si="0"/>
        <v>-0.005401392968085709</v>
      </c>
    </row>
    <row r="11" spans="1:8" ht="15">
      <c r="A11" s="2">
        <v>4</v>
      </c>
      <c r="B11" s="3" t="s">
        <v>9</v>
      </c>
      <c r="C11" s="6"/>
      <c r="D11" s="4">
        <f>D9+D10</f>
        <v>1177.7</v>
      </c>
      <c r="E11" s="14">
        <f>372.12+758.73+85.27+113.1523+10.52+19.42</f>
        <v>1359.2123</v>
      </c>
      <c r="F11" s="15">
        <f>F9+F10</f>
        <v>0</v>
      </c>
      <c r="G11" s="15">
        <v>0</v>
      </c>
      <c r="H11" s="5">
        <f t="shared" si="0"/>
        <v>0</v>
      </c>
    </row>
    <row r="12" spans="1:8" ht="15">
      <c r="A12" s="28">
        <v>5</v>
      </c>
      <c r="B12" s="13" t="s">
        <v>14</v>
      </c>
      <c r="C12" s="6"/>
      <c r="D12" s="9">
        <f>15455</f>
        <v>15455</v>
      </c>
      <c r="E12" s="15">
        <f>15510</f>
        <v>15510</v>
      </c>
      <c r="F12" s="15">
        <v>0</v>
      </c>
      <c r="G12" s="15">
        <f>D12-E12-F12-0.0006</f>
        <v>-55.0006</v>
      </c>
      <c r="H12" s="5">
        <f t="shared" si="0"/>
        <v>-0.009315914457125242</v>
      </c>
    </row>
    <row r="13" spans="1:8" ht="15">
      <c r="A13" s="29"/>
      <c r="B13" s="13" t="s">
        <v>15</v>
      </c>
      <c r="C13" s="6"/>
      <c r="D13" s="9">
        <f>13260</f>
        <v>13260</v>
      </c>
      <c r="E13" s="15">
        <f>4908</f>
        <v>4908</v>
      </c>
      <c r="F13" s="15">
        <v>0</v>
      </c>
      <c r="G13" s="15">
        <f>6919+0.0009</f>
        <v>6919.0009</v>
      </c>
      <c r="H13" s="5">
        <f t="shared" si="0"/>
        <v>1.1719294064641579</v>
      </c>
    </row>
    <row r="14" spans="1:8" ht="15">
      <c r="A14" s="30"/>
      <c r="B14" s="8" t="s">
        <v>11</v>
      </c>
      <c r="C14" s="8"/>
      <c r="D14" s="4">
        <f>SUM(D12:D13)</f>
        <v>28715</v>
      </c>
      <c r="E14" s="14">
        <f>SUM(E12:E13)</f>
        <v>20418</v>
      </c>
      <c r="F14" s="14">
        <f>SUM(F12:F13)</f>
        <v>0</v>
      </c>
      <c r="G14" s="14">
        <f>SUM(G12:G13)</f>
        <v>6864.0003</v>
      </c>
      <c r="H14" s="5">
        <f>G14/5903.94</f>
        <v>1.1626134920070326</v>
      </c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</sheetData>
  <sheetProtection/>
  <mergeCells count="18">
    <mergeCell ref="G6:G7"/>
    <mergeCell ref="H6:H7"/>
    <mergeCell ref="H2:H3"/>
    <mergeCell ref="A5:H5"/>
    <mergeCell ref="A6:A7"/>
    <mergeCell ref="B6:B7"/>
    <mergeCell ref="C6:C7"/>
    <mergeCell ref="D6:D7"/>
    <mergeCell ref="A12:A14"/>
    <mergeCell ref="G2:G3"/>
    <mergeCell ref="E6:E7"/>
    <mergeCell ref="F6:F7"/>
    <mergeCell ref="A2:A3"/>
    <mergeCell ref="B2:B3"/>
    <mergeCell ref="C2:C3"/>
    <mergeCell ref="D2:D3"/>
    <mergeCell ref="E2:E3"/>
    <mergeCell ref="F2:F3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6" sqref="B6:B7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8.8515625" style="0" customWidth="1"/>
    <col min="4" max="4" width="15.57421875" style="0" customWidth="1"/>
    <col min="5" max="5" width="16.7109375" style="0" customWidth="1"/>
    <col min="6" max="6" width="17.00390625" style="0" customWidth="1"/>
    <col min="7" max="7" width="12.00390625" style="0" customWidth="1"/>
    <col min="8" max="8" width="11.8515625" style="0" customWidth="1"/>
    <col min="9" max="9" width="9.57421875" style="0" bestFit="1" customWidth="1"/>
  </cols>
  <sheetData>
    <row r="2" spans="1:8" ht="15.75" customHeight="1">
      <c r="A2" s="31"/>
      <c r="B2" s="26"/>
      <c r="C2" s="31"/>
      <c r="D2" s="31"/>
      <c r="E2" s="31"/>
      <c r="F2" s="31"/>
      <c r="G2" s="31"/>
      <c r="H2" s="26"/>
    </row>
    <row r="3" spans="1:8" ht="15">
      <c r="A3" s="31"/>
      <c r="B3" s="26"/>
      <c r="C3" s="31"/>
      <c r="D3" s="31"/>
      <c r="E3" s="31"/>
      <c r="F3" s="31"/>
      <c r="G3" s="31"/>
      <c r="H3" s="26"/>
    </row>
    <row r="4" spans="2:3" ht="15.75">
      <c r="B4" s="7" t="s">
        <v>20</v>
      </c>
      <c r="C4" s="7"/>
    </row>
    <row r="5" spans="1:8" ht="15">
      <c r="A5" s="27" t="s">
        <v>7</v>
      </c>
      <c r="B5" s="27"/>
      <c r="C5" s="27"/>
      <c r="D5" s="27"/>
      <c r="E5" s="27"/>
      <c r="F5" s="27"/>
      <c r="G5" s="27"/>
      <c r="H5" s="27"/>
    </row>
    <row r="6" spans="1:8" ht="78.75" customHeight="1">
      <c r="A6" s="22" t="s">
        <v>0</v>
      </c>
      <c r="B6" s="24" t="s">
        <v>1</v>
      </c>
      <c r="C6" s="22" t="s">
        <v>2</v>
      </c>
      <c r="D6" s="22" t="s">
        <v>10</v>
      </c>
      <c r="E6" s="22" t="s">
        <v>3</v>
      </c>
      <c r="F6" s="22" t="s">
        <v>4</v>
      </c>
      <c r="G6" s="22" t="s">
        <v>5</v>
      </c>
      <c r="H6" s="24" t="s">
        <v>6</v>
      </c>
    </row>
    <row r="7" spans="1:8" ht="15" customHeight="1">
      <c r="A7" s="23"/>
      <c r="B7" s="25"/>
      <c r="C7" s="23"/>
      <c r="D7" s="23"/>
      <c r="E7" s="23"/>
      <c r="F7" s="23"/>
      <c r="G7" s="23"/>
      <c r="H7" s="25"/>
    </row>
    <row r="8" spans="1:8" ht="15">
      <c r="A8" s="10">
        <v>1</v>
      </c>
      <c r="B8" s="11" t="s">
        <v>13</v>
      </c>
      <c r="C8" s="10"/>
      <c r="D8" s="12">
        <f>42.48</f>
        <v>42.48</v>
      </c>
      <c r="E8" s="12">
        <f>E9*0.0478+0.001</f>
        <v>26.870336</v>
      </c>
      <c r="F8" s="12">
        <v>0</v>
      </c>
      <c r="G8" s="15">
        <f>19.2192*0.0478-0.0006</f>
        <v>0.9180777600000001</v>
      </c>
      <c r="H8" s="5">
        <f aca="true" t="shared" si="0" ref="H8:H14">G8/5903.94</f>
        <v>0.00015550255592028375</v>
      </c>
    </row>
    <row r="9" spans="1:8" ht="15">
      <c r="A9" s="2">
        <v>2</v>
      </c>
      <c r="B9" s="3" t="s">
        <v>8</v>
      </c>
      <c r="C9" s="5"/>
      <c r="D9" s="5">
        <f>466.5</f>
        <v>466.5</v>
      </c>
      <c r="E9" s="14">
        <f>325.38-92.8+310.36+19.18</f>
        <v>562.12</v>
      </c>
      <c r="F9" s="15">
        <v>0</v>
      </c>
      <c r="G9" s="15">
        <f>D9-E9-F9+8.7053</f>
        <v>-86.91470000000001</v>
      </c>
      <c r="H9" s="5">
        <f t="shared" si="0"/>
        <v>-0.014721474134222234</v>
      </c>
    </row>
    <row r="10" spans="1:8" ht="15">
      <c r="A10" s="2">
        <v>3</v>
      </c>
      <c r="B10" s="3" t="s">
        <v>12</v>
      </c>
      <c r="C10" s="6" t="s">
        <v>21</v>
      </c>
      <c r="D10" s="4">
        <f>71985-71081</f>
        <v>904</v>
      </c>
      <c r="E10" s="14">
        <f>305.55-87.3+507.53+8.29</f>
        <v>734.0699999999999</v>
      </c>
      <c r="F10" s="15">
        <v>0</v>
      </c>
      <c r="G10" s="15">
        <f>19.2192+0.0004</f>
        <v>19.2196</v>
      </c>
      <c r="H10" s="5">
        <f t="shared" si="0"/>
        <v>0.0032553853867078597</v>
      </c>
    </row>
    <row r="11" spans="1:8" ht="15">
      <c r="A11" s="2">
        <v>4</v>
      </c>
      <c r="B11" s="3" t="s">
        <v>9</v>
      </c>
      <c r="C11" s="6"/>
      <c r="D11" s="4">
        <f>D9+D10</f>
        <v>1370.5</v>
      </c>
      <c r="E11" s="14">
        <f>372.12+702.95+59.17+123.48+18.37+20.1</f>
        <v>1296.19</v>
      </c>
      <c r="F11" s="15">
        <f>F9+F10</f>
        <v>0</v>
      </c>
      <c r="G11" s="15">
        <v>0</v>
      </c>
      <c r="H11" s="5">
        <f t="shared" si="0"/>
        <v>0</v>
      </c>
    </row>
    <row r="12" spans="1:8" ht="15">
      <c r="A12" s="28">
        <v>5</v>
      </c>
      <c r="B12" s="13" t="s">
        <v>14</v>
      </c>
      <c r="C12" s="6"/>
      <c r="D12" s="9">
        <f>12277</f>
        <v>12277</v>
      </c>
      <c r="E12" s="15">
        <f>14552</f>
        <v>14552</v>
      </c>
      <c r="F12" s="15">
        <v>0</v>
      </c>
      <c r="G12" s="15">
        <f>D12-E12-F12-0.0005</f>
        <v>-2275.0005</v>
      </c>
      <c r="H12" s="5">
        <f t="shared" si="0"/>
        <v>-0.3853359790241771</v>
      </c>
    </row>
    <row r="13" spans="1:8" ht="15">
      <c r="A13" s="29"/>
      <c r="B13" s="13" t="s">
        <v>15</v>
      </c>
      <c r="C13" s="6"/>
      <c r="D13" s="9">
        <f>14156</f>
        <v>14156</v>
      </c>
      <c r="E13" s="15">
        <f>4774</f>
        <v>4774</v>
      </c>
      <c r="F13" s="15">
        <v>0</v>
      </c>
      <c r="G13" s="15">
        <f>9139-0.0012</f>
        <v>9138.9988</v>
      </c>
      <c r="H13" s="5">
        <f t="shared" si="0"/>
        <v>1.5479491322743795</v>
      </c>
    </row>
    <row r="14" spans="1:8" ht="15">
      <c r="A14" s="30"/>
      <c r="B14" s="8" t="s">
        <v>11</v>
      </c>
      <c r="C14" s="8"/>
      <c r="D14" s="4">
        <f>SUM(D12:D13)</f>
        <v>26433</v>
      </c>
      <c r="E14" s="14">
        <f>SUM(E12:E13)</f>
        <v>19326</v>
      </c>
      <c r="F14" s="14">
        <f>SUM(F12:F13)</f>
        <v>0</v>
      </c>
      <c r="G14" s="14">
        <f>SUM(G12:G13)</f>
        <v>6863.998299999999</v>
      </c>
      <c r="H14" s="5">
        <f t="shared" si="0"/>
        <v>1.1626131532502024</v>
      </c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</sheetData>
  <sheetProtection/>
  <mergeCells count="18">
    <mergeCell ref="A12:A14"/>
    <mergeCell ref="G2:G3"/>
    <mergeCell ref="E6:E7"/>
    <mergeCell ref="F6:F7"/>
    <mergeCell ref="A2:A3"/>
    <mergeCell ref="B2:B3"/>
    <mergeCell ref="C2:C3"/>
    <mergeCell ref="D2:D3"/>
    <mergeCell ref="E2:E3"/>
    <mergeCell ref="F2:F3"/>
    <mergeCell ref="G6:G7"/>
    <mergeCell ref="H6:H7"/>
    <mergeCell ref="H2:H3"/>
    <mergeCell ref="A5:H5"/>
    <mergeCell ref="A6:A7"/>
    <mergeCell ref="B6:B7"/>
    <mergeCell ref="C6:C7"/>
    <mergeCell ref="D6:D7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11" sqref="C11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8.8515625" style="0" customWidth="1"/>
    <col min="4" max="4" width="15.57421875" style="0" customWidth="1"/>
    <col min="5" max="5" width="16.7109375" style="0" customWidth="1"/>
    <col min="6" max="6" width="17.00390625" style="0" customWidth="1"/>
    <col min="7" max="7" width="12.00390625" style="0" customWidth="1"/>
    <col min="8" max="8" width="11.8515625" style="0" customWidth="1"/>
    <col min="9" max="9" width="9.57421875" style="0" bestFit="1" customWidth="1"/>
  </cols>
  <sheetData>
    <row r="2" spans="1:8" ht="15.75" customHeight="1">
      <c r="A2" s="31"/>
      <c r="B2" s="26"/>
      <c r="C2" s="31"/>
      <c r="D2" s="31"/>
      <c r="E2" s="31"/>
      <c r="F2" s="31"/>
      <c r="G2" s="31"/>
      <c r="H2" s="26"/>
    </row>
    <row r="3" spans="1:8" ht="15">
      <c r="A3" s="31"/>
      <c r="B3" s="26"/>
      <c r="C3" s="31"/>
      <c r="D3" s="31"/>
      <c r="E3" s="31"/>
      <c r="F3" s="31"/>
      <c r="G3" s="31"/>
      <c r="H3" s="26"/>
    </row>
    <row r="4" spans="2:3" ht="15.75">
      <c r="B4" s="7" t="s">
        <v>22</v>
      </c>
      <c r="C4" s="7"/>
    </row>
    <row r="5" spans="1:8" ht="15">
      <c r="A5" s="27" t="s">
        <v>7</v>
      </c>
      <c r="B5" s="27"/>
      <c r="C5" s="27"/>
      <c r="D5" s="27"/>
      <c r="E5" s="27"/>
      <c r="F5" s="27"/>
      <c r="G5" s="27"/>
      <c r="H5" s="27"/>
    </row>
    <row r="6" spans="1:8" ht="78.75" customHeight="1">
      <c r="A6" s="22" t="s">
        <v>0</v>
      </c>
      <c r="B6" s="24" t="s">
        <v>1</v>
      </c>
      <c r="C6" s="22" t="s">
        <v>2</v>
      </c>
      <c r="D6" s="22" t="s">
        <v>10</v>
      </c>
      <c r="E6" s="22" t="s">
        <v>3</v>
      </c>
      <c r="F6" s="22" t="s">
        <v>4</v>
      </c>
      <c r="G6" s="22" t="s">
        <v>5</v>
      </c>
      <c r="H6" s="24" t="s">
        <v>6</v>
      </c>
    </row>
    <row r="7" spans="1:8" ht="15" customHeight="1">
      <c r="A7" s="23"/>
      <c r="B7" s="25"/>
      <c r="C7" s="23"/>
      <c r="D7" s="23"/>
      <c r="E7" s="23"/>
      <c r="F7" s="23"/>
      <c r="G7" s="23"/>
      <c r="H7" s="25"/>
    </row>
    <row r="8" spans="1:8" ht="15">
      <c r="A8" s="10">
        <v>1</v>
      </c>
      <c r="B8" s="11" t="s">
        <v>13</v>
      </c>
      <c r="C8" s="10"/>
      <c r="D8" s="12">
        <f>40.21</f>
        <v>40.21</v>
      </c>
      <c r="E8" s="12">
        <f>E9*0.0478+0.001518</f>
        <v>25.7535680048</v>
      </c>
      <c r="F8" s="12">
        <v>0</v>
      </c>
      <c r="G8" s="15">
        <f>19.2192*0.0478-0.0006</f>
        <v>0.9180777600000001</v>
      </c>
      <c r="H8" s="5">
        <f aca="true" t="shared" si="0" ref="H8:H14">G8/5903.94</f>
        <v>0.00015550255592028375</v>
      </c>
    </row>
    <row r="9" spans="1:8" ht="15">
      <c r="A9" s="2">
        <v>2</v>
      </c>
      <c r="B9" s="3" t="s">
        <v>8</v>
      </c>
      <c r="C9" s="5"/>
      <c r="D9" s="5">
        <f>490.6</f>
        <v>490.6</v>
      </c>
      <c r="E9" s="14">
        <f>318.1413-90.735484+306+5.34</f>
        <v>538.745816</v>
      </c>
      <c r="F9" s="15">
        <v>0</v>
      </c>
      <c r="G9" s="15">
        <f>D9-E9-F9+3.17</f>
        <v>-44.975815999999966</v>
      </c>
      <c r="H9" s="5">
        <f t="shared" si="0"/>
        <v>-0.007617932431562646</v>
      </c>
    </row>
    <row r="10" spans="1:8" ht="15">
      <c r="A10" s="2">
        <v>3</v>
      </c>
      <c r="B10" s="3" t="s">
        <v>12</v>
      </c>
      <c r="C10" s="6" t="s">
        <v>23</v>
      </c>
      <c r="D10" s="4">
        <f>72771-71985</f>
        <v>786</v>
      </c>
      <c r="E10" s="14">
        <f>296.7887-84.796774+424.56+8.07</f>
        <v>644.621926</v>
      </c>
      <c r="F10" s="15">
        <v>0</v>
      </c>
      <c r="G10" s="15">
        <f>19.2192+0.0004</f>
        <v>19.2196</v>
      </c>
      <c r="H10" s="5">
        <f t="shared" si="0"/>
        <v>0.0032553853867078597</v>
      </c>
    </row>
    <row r="11" spans="1:8" ht="15">
      <c r="A11" s="2">
        <v>4</v>
      </c>
      <c r="B11" s="3" t="s">
        <v>9</v>
      </c>
      <c r="C11" s="6"/>
      <c r="D11" s="4">
        <f>D9+D10</f>
        <v>1276.6</v>
      </c>
      <c r="E11" s="14">
        <f>360.6877+608.57+43.86+129.06+17.31+23.88</f>
        <v>1183.3677000000002</v>
      </c>
      <c r="F11" s="15">
        <f>F9+F10</f>
        <v>0</v>
      </c>
      <c r="G11" s="15">
        <v>0</v>
      </c>
      <c r="H11" s="5">
        <f t="shared" si="0"/>
        <v>0</v>
      </c>
    </row>
    <row r="12" spans="1:8" ht="15">
      <c r="A12" s="28">
        <v>5</v>
      </c>
      <c r="B12" s="13" t="s">
        <v>14</v>
      </c>
      <c r="C12" s="6"/>
      <c r="D12" s="9">
        <f>14726</f>
        <v>14726</v>
      </c>
      <c r="E12" s="15">
        <f>19451-990</f>
        <v>18461</v>
      </c>
      <c r="F12" s="15">
        <v>0</v>
      </c>
      <c r="G12" s="15">
        <f>D12-E12-F12+0.0002</f>
        <v>-3734.9998</v>
      </c>
      <c r="H12" s="5">
        <f t="shared" si="0"/>
        <v>-0.6326283464940362</v>
      </c>
    </row>
    <row r="13" spans="1:8" ht="15">
      <c r="A13" s="29"/>
      <c r="B13" s="13" t="s">
        <v>15</v>
      </c>
      <c r="C13" s="6"/>
      <c r="D13" s="9">
        <f>14136</f>
        <v>14136</v>
      </c>
      <c r="E13" s="15">
        <f>5211</f>
        <v>5211</v>
      </c>
      <c r="F13" s="15">
        <v>0</v>
      </c>
      <c r="G13" s="15">
        <f>D13-E13-F13-0.0004</f>
        <v>8924.9996</v>
      </c>
      <c r="H13" s="5">
        <f t="shared" si="0"/>
        <v>1.5117022869473606</v>
      </c>
    </row>
    <row r="14" spans="1:8" ht="15">
      <c r="A14" s="30"/>
      <c r="B14" s="8" t="s">
        <v>11</v>
      </c>
      <c r="C14" s="8"/>
      <c r="D14" s="4">
        <f>SUM(D12:D13)</f>
        <v>28862</v>
      </c>
      <c r="E14" s="14">
        <f>SUM(E12:E13)</f>
        <v>23672</v>
      </c>
      <c r="F14" s="14">
        <f>SUM(F12:F13)</f>
        <v>0</v>
      </c>
      <c r="G14" s="14">
        <f>SUM(G12:G13)</f>
        <v>5189.9998</v>
      </c>
      <c r="H14" s="5">
        <f t="shared" si="0"/>
        <v>0.8790739404533244</v>
      </c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</sheetData>
  <sheetProtection/>
  <mergeCells count="18">
    <mergeCell ref="G6:G7"/>
    <mergeCell ref="H6:H7"/>
    <mergeCell ref="H2:H3"/>
    <mergeCell ref="A5:H5"/>
    <mergeCell ref="A6:A7"/>
    <mergeCell ref="B6:B7"/>
    <mergeCell ref="C6:C7"/>
    <mergeCell ref="D6:D7"/>
    <mergeCell ref="A12:A14"/>
    <mergeCell ref="G2:G3"/>
    <mergeCell ref="E6:E7"/>
    <mergeCell ref="F6:F7"/>
    <mergeCell ref="A2:A3"/>
    <mergeCell ref="B2:B3"/>
    <mergeCell ref="C2:C3"/>
    <mergeCell ref="D2:D3"/>
    <mergeCell ref="E2:E3"/>
    <mergeCell ref="F2:F3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6" sqref="C6:C7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8.8515625" style="0" customWidth="1"/>
    <col min="4" max="4" width="15.57421875" style="0" customWidth="1"/>
    <col min="5" max="5" width="16.7109375" style="0" customWidth="1"/>
    <col min="6" max="6" width="17.00390625" style="0" customWidth="1"/>
    <col min="7" max="7" width="12.00390625" style="0" customWidth="1"/>
    <col min="8" max="8" width="11.8515625" style="0" customWidth="1"/>
    <col min="9" max="9" width="9.57421875" style="0" bestFit="1" customWidth="1"/>
  </cols>
  <sheetData>
    <row r="2" spans="1:8" ht="15.75" customHeight="1">
      <c r="A2" s="31"/>
      <c r="B2" s="26"/>
      <c r="C2" s="31"/>
      <c r="D2" s="31"/>
      <c r="E2" s="31"/>
      <c r="F2" s="31"/>
      <c r="G2" s="31"/>
      <c r="H2" s="26"/>
    </row>
    <row r="3" spans="1:8" ht="15">
      <c r="A3" s="31"/>
      <c r="B3" s="26"/>
      <c r="C3" s="31"/>
      <c r="D3" s="31"/>
      <c r="E3" s="31"/>
      <c r="F3" s="31"/>
      <c r="G3" s="31"/>
      <c r="H3" s="26"/>
    </row>
    <row r="4" spans="2:3" ht="15.75">
      <c r="B4" s="7" t="s">
        <v>24</v>
      </c>
      <c r="C4" s="7"/>
    </row>
    <row r="5" spans="1:8" ht="15">
      <c r="A5" s="27" t="s">
        <v>7</v>
      </c>
      <c r="B5" s="27"/>
      <c r="C5" s="27"/>
      <c r="D5" s="27"/>
      <c r="E5" s="27"/>
      <c r="F5" s="27"/>
      <c r="G5" s="27"/>
      <c r="H5" s="27"/>
    </row>
    <row r="6" spans="1:8" ht="78.75" customHeight="1">
      <c r="A6" s="22" t="s">
        <v>0</v>
      </c>
      <c r="B6" s="24" t="s">
        <v>1</v>
      </c>
      <c r="C6" s="22" t="s">
        <v>2</v>
      </c>
      <c r="D6" s="22" t="s">
        <v>10</v>
      </c>
      <c r="E6" s="22" t="s">
        <v>3</v>
      </c>
      <c r="F6" s="22" t="s">
        <v>4</v>
      </c>
      <c r="G6" s="22" t="s">
        <v>5</v>
      </c>
      <c r="H6" s="24" t="s">
        <v>6</v>
      </c>
    </row>
    <row r="7" spans="1:8" ht="15" customHeight="1">
      <c r="A7" s="23"/>
      <c r="B7" s="25"/>
      <c r="C7" s="23"/>
      <c r="D7" s="23"/>
      <c r="E7" s="23"/>
      <c r="F7" s="23"/>
      <c r="G7" s="23"/>
      <c r="H7" s="25"/>
    </row>
    <row r="8" spans="1:8" ht="15">
      <c r="A8" s="10">
        <v>1</v>
      </c>
      <c r="B8" s="11" t="s">
        <v>13</v>
      </c>
      <c r="C8" s="10"/>
      <c r="D8" s="12">
        <f>31.2</f>
        <v>31.2</v>
      </c>
      <c r="E8" s="12">
        <f>18.3059-5.230241+17.8331+0.7555+0.0005</f>
        <v>31.664759000000004</v>
      </c>
      <c r="F8" s="12">
        <v>0</v>
      </c>
      <c r="G8" s="15">
        <f>D8-E8-F8+0.0002+0.046</f>
        <v>-0.4185590000000044</v>
      </c>
      <c r="H8" s="5">
        <f aca="true" t="shared" si="0" ref="H8:H14">G8/5903.94</f>
        <v>-7.089486004261636E-05</v>
      </c>
    </row>
    <row r="9" spans="1:8" ht="15">
      <c r="A9" s="2">
        <v>2</v>
      </c>
      <c r="B9" s="3" t="s">
        <v>8</v>
      </c>
      <c r="C9" s="5"/>
      <c r="D9" s="5">
        <f>474</f>
        <v>474</v>
      </c>
      <c r="E9" s="14">
        <f>314.16-89.6+306.41+12.98</f>
        <v>543.95</v>
      </c>
      <c r="F9" s="15">
        <v>0</v>
      </c>
      <c r="G9" s="15">
        <f>D9-E9-F9+8.2365</f>
        <v>-61.713500000000046</v>
      </c>
      <c r="H9" s="5">
        <f t="shared" si="0"/>
        <v>-0.010452934819798313</v>
      </c>
    </row>
    <row r="10" spans="1:8" ht="15">
      <c r="A10" s="2">
        <v>3</v>
      </c>
      <c r="B10" s="3" t="s">
        <v>12</v>
      </c>
      <c r="C10" s="6" t="s">
        <v>25</v>
      </c>
      <c r="D10" s="4">
        <f>73542-72771</f>
        <v>771</v>
      </c>
      <c r="E10" s="14">
        <f>291.97-83.42+465.17+9.51</f>
        <v>683.23</v>
      </c>
      <c r="F10" s="15">
        <v>0</v>
      </c>
      <c r="G10" s="15">
        <f>19.2192+0.0004</f>
        <v>19.2196</v>
      </c>
      <c r="H10" s="5">
        <f t="shared" si="0"/>
        <v>0.0032553853867078597</v>
      </c>
    </row>
    <row r="11" spans="1:8" ht="15">
      <c r="A11" s="2">
        <v>4</v>
      </c>
      <c r="B11" s="3" t="s">
        <v>9</v>
      </c>
      <c r="C11" s="6"/>
      <c r="D11" s="4">
        <f>D9+D10</f>
        <v>1245</v>
      </c>
      <c r="E11" s="14">
        <f>354.4+685.52+45.71+105.62+13.58+22.35</f>
        <v>1227.1799999999998</v>
      </c>
      <c r="F11" s="15">
        <f>F9+F10</f>
        <v>0</v>
      </c>
      <c r="G11" s="15">
        <v>0</v>
      </c>
      <c r="H11" s="5">
        <f t="shared" si="0"/>
        <v>0</v>
      </c>
    </row>
    <row r="12" spans="1:8" ht="15">
      <c r="A12" s="28">
        <v>5</v>
      </c>
      <c r="B12" s="13" t="s">
        <v>14</v>
      </c>
      <c r="C12" s="6"/>
      <c r="D12" s="9">
        <f>11570</f>
        <v>11570</v>
      </c>
      <c r="E12" s="15">
        <f>14636</f>
        <v>14636</v>
      </c>
      <c r="F12" s="15">
        <v>0</v>
      </c>
      <c r="G12" s="15">
        <f>D12-E12-F12-0.0002</f>
        <v>-3066.0002</v>
      </c>
      <c r="H12" s="5">
        <f t="shared" si="0"/>
        <v>-0.5193142545486573</v>
      </c>
    </row>
    <row r="13" spans="1:8" ht="15">
      <c r="A13" s="29"/>
      <c r="B13" s="13" t="s">
        <v>15</v>
      </c>
      <c r="C13" s="6"/>
      <c r="D13" s="9">
        <f>11285</f>
        <v>11285</v>
      </c>
      <c r="E13" s="15">
        <f>5552</f>
        <v>5552</v>
      </c>
      <c r="F13" s="15">
        <v>0</v>
      </c>
      <c r="G13" s="15">
        <f>D13-E13-F13</f>
        <v>5733</v>
      </c>
      <c r="H13" s="5">
        <f t="shared" si="0"/>
        <v>0.9710464537241232</v>
      </c>
    </row>
    <row r="14" spans="1:8" ht="15">
      <c r="A14" s="30"/>
      <c r="B14" s="8" t="s">
        <v>11</v>
      </c>
      <c r="C14" s="8"/>
      <c r="D14" s="4">
        <f>SUM(D12:D13)</f>
        <v>22855</v>
      </c>
      <c r="E14" s="14">
        <f>SUM(E12:E13)</f>
        <v>20188</v>
      </c>
      <c r="F14" s="14">
        <f>SUM(F12:F13)</f>
        <v>0</v>
      </c>
      <c r="G14" s="14">
        <f>SUM(G12:G13)</f>
        <v>2666.9998</v>
      </c>
      <c r="H14" s="5">
        <f t="shared" si="0"/>
        <v>0.4517321991754659</v>
      </c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</sheetData>
  <sheetProtection/>
  <mergeCells count="18">
    <mergeCell ref="A12:A14"/>
    <mergeCell ref="G2:G3"/>
    <mergeCell ref="E6:E7"/>
    <mergeCell ref="F6:F7"/>
    <mergeCell ref="A2:A3"/>
    <mergeCell ref="B2:B3"/>
    <mergeCell ref="C2:C3"/>
    <mergeCell ref="D2:D3"/>
    <mergeCell ref="E2:E3"/>
    <mergeCell ref="F2:F3"/>
    <mergeCell ref="G6:G7"/>
    <mergeCell ref="H6:H7"/>
    <mergeCell ref="H2:H3"/>
    <mergeCell ref="A5:H5"/>
    <mergeCell ref="A6:A7"/>
    <mergeCell ref="B6:B7"/>
    <mergeCell ref="C6:C7"/>
    <mergeCell ref="D6:D7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6" sqref="B6:B7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8.8515625" style="0" customWidth="1"/>
    <col min="4" max="4" width="15.57421875" style="0" customWidth="1"/>
    <col min="5" max="5" width="16.7109375" style="0" customWidth="1"/>
    <col min="6" max="6" width="17.00390625" style="0" customWidth="1"/>
    <col min="7" max="7" width="12.00390625" style="0" customWidth="1"/>
    <col min="8" max="8" width="11.8515625" style="0" customWidth="1"/>
    <col min="9" max="9" width="9.57421875" style="0" bestFit="1" customWidth="1"/>
  </cols>
  <sheetData>
    <row r="2" spans="1:8" ht="15.75" customHeight="1">
      <c r="A2" s="31"/>
      <c r="B2" s="26"/>
      <c r="C2" s="31"/>
      <c r="D2" s="31"/>
      <c r="E2" s="31"/>
      <c r="F2" s="31"/>
      <c r="G2" s="31"/>
      <c r="H2" s="26"/>
    </row>
    <row r="3" spans="1:8" ht="15">
      <c r="A3" s="31"/>
      <c r="B3" s="26"/>
      <c r="C3" s="31"/>
      <c r="D3" s="31"/>
      <c r="E3" s="31"/>
      <c r="F3" s="31"/>
      <c r="G3" s="31"/>
      <c r="H3" s="26"/>
    </row>
    <row r="4" spans="2:3" ht="15.75">
      <c r="B4" s="7" t="s">
        <v>26</v>
      </c>
      <c r="C4" s="7"/>
    </row>
    <row r="5" spans="1:8" ht="15">
      <c r="A5" s="27" t="s">
        <v>7</v>
      </c>
      <c r="B5" s="27"/>
      <c r="C5" s="27"/>
      <c r="D5" s="27"/>
      <c r="E5" s="27"/>
      <c r="F5" s="27"/>
      <c r="G5" s="27"/>
      <c r="H5" s="27"/>
    </row>
    <row r="6" spans="1:8" ht="78.75" customHeight="1">
      <c r="A6" s="22" t="s">
        <v>0</v>
      </c>
      <c r="B6" s="24" t="s">
        <v>1</v>
      </c>
      <c r="C6" s="22" t="s">
        <v>2</v>
      </c>
      <c r="D6" s="22" t="s">
        <v>10</v>
      </c>
      <c r="E6" s="22" t="s">
        <v>3</v>
      </c>
      <c r="F6" s="22" t="s">
        <v>4</v>
      </c>
      <c r="G6" s="22" t="s">
        <v>5</v>
      </c>
      <c r="H6" s="24" t="s">
        <v>6</v>
      </c>
    </row>
    <row r="7" spans="1:8" ht="15" customHeight="1">
      <c r="A7" s="23"/>
      <c r="B7" s="25"/>
      <c r="C7" s="23"/>
      <c r="D7" s="23"/>
      <c r="E7" s="23"/>
      <c r="F7" s="23"/>
      <c r="G7" s="23"/>
      <c r="H7" s="25"/>
    </row>
    <row r="8" spans="1:8" ht="15">
      <c r="A8" s="10">
        <v>1</v>
      </c>
      <c r="B8" s="11" t="s">
        <v>13</v>
      </c>
      <c r="C8" s="10"/>
      <c r="D8" s="12">
        <f>24.38</f>
        <v>24.38</v>
      </c>
      <c r="E8" s="12">
        <f>14.5204-4.840094+14.2739+0.2138-0.0003</f>
        <v>24.167706</v>
      </c>
      <c r="F8" s="12">
        <v>0</v>
      </c>
      <c r="G8" s="15">
        <f>D8-E8-F8+0.0004</f>
        <v>0.212694</v>
      </c>
      <c r="H8" s="5">
        <f aca="true" t="shared" si="0" ref="H8:H14">G8/5903.94</f>
        <v>3.602577261964045E-05</v>
      </c>
    </row>
    <row r="9" spans="1:8" ht="15">
      <c r="A9" s="2">
        <v>2</v>
      </c>
      <c r="B9" s="3" t="s">
        <v>8</v>
      </c>
      <c r="C9" s="5"/>
      <c r="D9" s="5">
        <f>604.1</f>
        <v>604.1</v>
      </c>
      <c r="E9" s="14">
        <f>336.56-112+331.18+4.96</f>
        <v>560.7</v>
      </c>
      <c r="F9" s="15">
        <v>0</v>
      </c>
      <c r="G9" s="15">
        <f>24.7104</f>
        <v>24.7104</v>
      </c>
      <c r="H9" s="5">
        <f t="shared" si="0"/>
        <v>0.004185408388296629</v>
      </c>
    </row>
    <row r="10" spans="1:8" ht="15">
      <c r="A10" s="2">
        <v>3</v>
      </c>
      <c r="B10" s="3" t="s">
        <v>12</v>
      </c>
      <c r="C10" s="6" t="s">
        <v>27</v>
      </c>
      <c r="D10" s="4">
        <f>734</f>
        <v>734</v>
      </c>
      <c r="E10" s="14">
        <f>305.34-101.64+489.2+3.29</f>
        <v>696.1899999999999</v>
      </c>
      <c r="F10" s="15">
        <v>0</v>
      </c>
      <c r="G10" s="15">
        <f>24.7104</f>
        <v>24.7104</v>
      </c>
      <c r="H10" s="5">
        <f t="shared" si="0"/>
        <v>0.004185408388296629</v>
      </c>
    </row>
    <row r="11" spans="1:8" ht="15">
      <c r="A11" s="2">
        <v>4</v>
      </c>
      <c r="B11" s="3" t="s">
        <v>9</v>
      </c>
      <c r="C11" s="6"/>
      <c r="D11" s="4">
        <f>D9+D10</f>
        <v>1338.1</v>
      </c>
      <c r="E11" s="14">
        <f>544.48-213.64+750.96+0.3+160.28+14.51</f>
        <v>1256.89</v>
      </c>
      <c r="F11" s="15">
        <f>F9+F10</f>
        <v>0</v>
      </c>
      <c r="G11" s="15">
        <v>0</v>
      </c>
      <c r="H11" s="5">
        <f t="shared" si="0"/>
        <v>0</v>
      </c>
    </row>
    <row r="12" spans="1:8" ht="15">
      <c r="A12" s="28">
        <v>5</v>
      </c>
      <c r="B12" s="13" t="s">
        <v>14</v>
      </c>
      <c r="C12" s="6"/>
      <c r="D12" s="9">
        <f>11461</f>
        <v>11461</v>
      </c>
      <c r="E12" s="15">
        <f>14302</f>
        <v>14302</v>
      </c>
      <c r="F12" s="15">
        <v>0</v>
      </c>
      <c r="G12" s="15">
        <f>D12-E12-F12-0.0002</f>
        <v>-2841.0002</v>
      </c>
      <c r="H12" s="5">
        <f t="shared" si="0"/>
        <v>-0.48120411115289113</v>
      </c>
    </row>
    <row r="13" spans="1:8" ht="15">
      <c r="A13" s="29"/>
      <c r="B13" s="13" t="s">
        <v>15</v>
      </c>
      <c r="C13" s="6"/>
      <c r="D13" s="9">
        <f>11605</f>
        <v>11605</v>
      </c>
      <c r="E13" s="15">
        <f>4196</f>
        <v>4196</v>
      </c>
      <c r="F13" s="15">
        <v>0</v>
      </c>
      <c r="G13" s="15">
        <f>D13-E13-F13-0.0006</f>
        <v>7408.9994</v>
      </c>
      <c r="H13" s="5">
        <f t="shared" si="0"/>
        <v>1.2549245757917595</v>
      </c>
    </row>
    <row r="14" spans="1:8" ht="15">
      <c r="A14" s="30"/>
      <c r="B14" s="8" t="s">
        <v>11</v>
      </c>
      <c r="C14" s="8"/>
      <c r="D14" s="4">
        <f>SUM(D12:D13)</f>
        <v>23066</v>
      </c>
      <c r="E14" s="14">
        <f>SUM(E12:E13)</f>
        <v>18498</v>
      </c>
      <c r="F14" s="14">
        <f>SUM(F12:F13)</f>
        <v>0</v>
      </c>
      <c r="G14" s="14">
        <f>SUM(G12:G13)</f>
        <v>4567.9992</v>
      </c>
      <c r="H14" s="5">
        <f t="shared" si="0"/>
        <v>0.7737204646388683</v>
      </c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</sheetData>
  <sheetProtection/>
  <mergeCells count="18">
    <mergeCell ref="G6:G7"/>
    <mergeCell ref="H6:H7"/>
    <mergeCell ref="H2:H3"/>
    <mergeCell ref="A5:H5"/>
    <mergeCell ref="A6:A7"/>
    <mergeCell ref="B6:B7"/>
    <mergeCell ref="C6:C7"/>
    <mergeCell ref="D6:D7"/>
    <mergeCell ref="A12:A14"/>
    <mergeCell ref="G2:G3"/>
    <mergeCell ref="E6:E7"/>
    <mergeCell ref="F6:F7"/>
    <mergeCell ref="A2:A3"/>
    <mergeCell ref="B2:B3"/>
    <mergeCell ref="C2:C3"/>
    <mergeCell ref="D2:D3"/>
    <mergeCell ref="E2:E3"/>
    <mergeCell ref="F2:F3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6" sqref="A6:A7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8.8515625" style="0" customWidth="1"/>
    <col min="4" max="4" width="15.57421875" style="0" customWidth="1"/>
    <col min="5" max="5" width="16.7109375" style="0" customWidth="1"/>
    <col min="6" max="6" width="17.00390625" style="0" customWidth="1"/>
    <col min="7" max="7" width="12.00390625" style="0" customWidth="1"/>
    <col min="8" max="8" width="11.8515625" style="0" customWidth="1"/>
    <col min="9" max="9" width="9.57421875" style="0" bestFit="1" customWidth="1"/>
  </cols>
  <sheetData>
    <row r="2" spans="1:8" ht="15.75" customHeight="1">
      <c r="A2" s="31"/>
      <c r="B2" s="26"/>
      <c r="C2" s="31"/>
      <c r="D2" s="31"/>
      <c r="E2" s="31"/>
      <c r="F2" s="31"/>
      <c r="G2" s="31"/>
      <c r="H2" s="26"/>
    </row>
    <row r="3" spans="1:8" ht="15">
      <c r="A3" s="31"/>
      <c r="B3" s="26"/>
      <c r="C3" s="31"/>
      <c r="D3" s="31"/>
      <c r="E3" s="31"/>
      <c r="F3" s="31"/>
      <c r="G3" s="31"/>
      <c r="H3" s="26"/>
    </row>
    <row r="4" spans="2:3" ht="15.75">
      <c r="B4" s="7" t="s">
        <v>28</v>
      </c>
      <c r="C4" s="7"/>
    </row>
    <row r="5" spans="1:8" ht="15">
      <c r="A5" s="27" t="s">
        <v>7</v>
      </c>
      <c r="B5" s="27"/>
      <c r="C5" s="27"/>
      <c r="D5" s="27"/>
      <c r="E5" s="27"/>
      <c r="F5" s="27"/>
      <c r="G5" s="27"/>
      <c r="H5" s="27"/>
    </row>
    <row r="6" spans="1:8" ht="78.75" customHeight="1">
      <c r="A6" s="22" t="s">
        <v>0</v>
      </c>
      <c r="B6" s="24" t="s">
        <v>1</v>
      </c>
      <c r="C6" s="22" t="s">
        <v>2</v>
      </c>
      <c r="D6" s="22" t="s">
        <v>10</v>
      </c>
      <c r="E6" s="22" t="s">
        <v>3</v>
      </c>
      <c r="F6" s="22" t="s">
        <v>4</v>
      </c>
      <c r="G6" s="22" t="s">
        <v>5</v>
      </c>
      <c r="H6" s="24" t="s">
        <v>6</v>
      </c>
    </row>
    <row r="7" spans="1:8" ht="15" customHeight="1">
      <c r="A7" s="23"/>
      <c r="B7" s="25"/>
      <c r="C7" s="23"/>
      <c r="D7" s="23"/>
      <c r="E7" s="23"/>
      <c r="F7" s="23"/>
      <c r="G7" s="23"/>
      <c r="H7" s="25"/>
    </row>
    <row r="8" spans="1:8" ht="15">
      <c r="A8" s="10">
        <v>1</v>
      </c>
      <c r="B8" s="11" t="s">
        <v>13</v>
      </c>
      <c r="C8" s="10"/>
      <c r="D8" s="12">
        <f>25.18</f>
        <v>25.18</v>
      </c>
      <c r="E8" s="12">
        <f>11.2016-3.20046+11.4588-2.09088-0.0006</f>
        <v>17.368460000000002</v>
      </c>
      <c r="F8" s="12">
        <v>0</v>
      </c>
      <c r="G8" s="15">
        <f>24.7104*0.0363+0.0004</f>
        <v>0.8973875199999999</v>
      </c>
      <c r="H8" s="5">
        <f aca="true" t="shared" si="0" ref="H8:H14">G8/5903.94</f>
        <v>0.00015199807586120453</v>
      </c>
    </row>
    <row r="9" spans="1:8" ht="15">
      <c r="A9" s="2">
        <v>2</v>
      </c>
      <c r="B9" s="3" t="s">
        <v>8</v>
      </c>
      <c r="C9" s="5"/>
      <c r="D9" s="5">
        <f>490.1</f>
        <v>490.1</v>
      </c>
      <c r="E9" s="14">
        <f>308.55-88+315.67-57.6</f>
        <v>478.62</v>
      </c>
      <c r="F9" s="15">
        <v>0</v>
      </c>
      <c r="G9" s="15">
        <f>D9-E9-F9+0.0009</f>
        <v>11.480900000000018</v>
      </c>
      <c r="H9" s="5">
        <f t="shared" si="0"/>
        <v>0.0019446166458331247</v>
      </c>
    </row>
    <row r="10" spans="1:8" ht="15">
      <c r="A10" s="2">
        <v>3</v>
      </c>
      <c r="B10" s="3" t="s">
        <v>12</v>
      </c>
      <c r="C10" s="6" t="s">
        <v>29</v>
      </c>
      <c r="D10" s="4">
        <f>74891-74276</f>
        <v>615</v>
      </c>
      <c r="E10" s="14">
        <f>278.39-79.54+468.14+3.94-46.56</f>
        <v>624.3700000000001</v>
      </c>
      <c r="F10" s="15">
        <v>0</v>
      </c>
      <c r="G10" s="15">
        <f>D10-E10-F10+0.4742</f>
        <v>-8.895800000000119</v>
      </c>
      <c r="H10" s="5">
        <f t="shared" si="0"/>
        <v>-0.0015067565049780517</v>
      </c>
    </row>
    <row r="11" spans="1:8" ht="15">
      <c r="A11" s="2">
        <v>4</v>
      </c>
      <c r="B11" s="3" t="s">
        <v>9</v>
      </c>
      <c r="C11" s="6"/>
      <c r="D11" s="4">
        <f>D9+D10</f>
        <v>1105.1</v>
      </c>
      <c r="E11" s="14">
        <f>496-141.6+712.67+2.1+150.17-24+13.75-1.94-104.16</f>
        <v>1102.9899999999998</v>
      </c>
      <c r="F11" s="15">
        <f>F9+F10</f>
        <v>0</v>
      </c>
      <c r="G11" s="15">
        <v>0</v>
      </c>
      <c r="H11" s="5">
        <f t="shared" si="0"/>
        <v>0</v>
      </c>
    </row>
    <row r="12" spans="1:8" ht="15">
      <c r="A12" s="28">
        <v>5</v>
      </c>
      <c r="B12" s="13" t="s">
        <v>14</v>
      </c>
      <c r="C12" s="6"/>
      <c r="D12" s="9">
        <f>11911</f>
        <v>11911</v>
      </c>
      <c r="E12" s="15">
        <f>14770-102</f>
        <v>14668</v>
      </c>
      <c r="F12" s="15">
        <v>0</v>
      </c>
      <c r="G12" s="15">
        <f>D12-E12-F12-0.0019</f>
        <v>-2757.0019</v>
      </c>
      <c r="H12" s="5">
        <f t="shared" si="0"/>
        <v>-0.4669766122284441</v>
      </c>
    </row>
    <row r="13" spans="1:8" ht="15">
      <c r="A13" s="29"/>
      <c r="B13" s="13" t="s">
        <v>15</v>
      </c>
      <c r="C13" s="6"/>
      <c r="D13" s="9">
        <f>10248</f>
        <v>10248</v>
      </c>
      <c r="E13" s="15">
        <f>4541</f>
        <v>4541</v>
      </c>
      <c r="F13" s="15">
        <v>0</v>
      </c>
      <c r="G13" s="15">
        <f>D13-E13-F13</f>
        <v>5707</v>
      </c>
      <c r="H13" s="5">
        <f t="shared" si="0"/>
        <v>0.9666426149317237</v>
      </c>
    </row>
    <row r="14" spans="1:8" ht="15">
      <c r="A14" s="30"/>
      <c r="B14" s="8" t="s">
        <v>11</v>
      </c>
      <c r="C14" s="8"/>
      <c r="D14" s="4">
        <f>SUM(D12:D13)</f>
        <v>22159</v>
      </c>
      <c r="E14" s="14">
        <f>SUM(E12:E13)</f>
        <v>19209</v>
      </c>
      <c r="F14" s="14">
        <f>SUM(F12:F13)</f>
        <v>0</v>
      </c>
      <c r="G14" s="14">
        <f>SUM(G12:G13)</f>
        <v>2949.9981</v>
      </c>
      <c r="H14" s="5">
        <f t="shared" si="0"/>
        <v>0.4996660027032795</v>
      </c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</sheetData>
  <sheetProtection/>
  <mergeCells count="18">
    <mergeCell ref="A12:A14"/>
    <mergeCell ref="G2:G3"/>
    <mergeCell ref="E6:E7"/>
    <mergeCell ref="F6:F7"/>
    <mergeCell ref="A2:A3"/>
    <mergeCell ref="B2:B3"/>
    <mergeCell ref="C2:C3"/>
    <mergeCell ref="D2:D3"/>
    <mergeCell ref="E2:E3"/>
    <mergeCell ref="F2:F3"/>
    <mergeCell ref="G6:G7"/>
    <mergeCell ref="H6:H7"/>
    <mergeCell ref="H2:H3"/>
    <mergeCell ref="A5:H5"/>
    <mergeCell ref="A6:A7"/>
    <mergeCell ref="B6:B7"/>
    <mergeCell ref="C6:C7"/>
    <mergeCell ref="D6:D7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1" sqref="C1:C16384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8.8515625" style="0" customWidth="1"/>
    <col min="4" max="4" width="15.57421875" style="0" customWidth="1"/>
    <col min="5" max="5" width="16.7109375" style="0" customWidth="1"/>
    <col min="6" max="6" width="17.00390625" style="0" customWidth="1"/>
    <col min="7" max="7" width="12.00390625" style="0" customWidth="1"/>
    <col min="8" max="8" width="11.8515625" style="0" customWidth="1"/>
    <col min="9" max="9" width="9.57421875" style="0" bestFit="1" customWidth="1"/>
  </cols>
  <sheetData>
    <row r="2" spans="1:8" ht="15.75" customHeight="1">
      <c r="A2" s="31"/>
      <c r="B2" s="26"/>
      <c r="C2" s="31"/>
      <c r="D2" s="31"/>
      <c r="E2" s="31"/>
      <c r="F2" s="31"/>
      <c r="G2" s="31"/>
      <c r="H2" s="26"/>
    </row>
    <row r="3" spans="1:8" ht="15">
      <c r="A3" s="31"/>
      <c r="B3" s="26"/>
      <c r="C3" s="31"/>
      <c r="D3" s="31"/>
      <c r="E3" s="31"/>
      <c r="F3" s="31"/>
      <c r="G3" s="31"/>
      <c r="H3" s="26"/>
    </row>
    <row r="4" spans="2:3" ht="15.75">
      <c r="B4" s="7" t="s">
        <v>30</v>
      </c>
      <c r="C4" s="7"/>
    </row>
    <row r="5" spans="1:8" ht="15">
      <c r="A5" s="27" t="s">
        <v>7</v>
      </c>
      <c r="B5" s="27"/>
      <c r="C5" s="27"/>
      <c r="D5" s="27"/>
      <c r="E5" s="27"/>
      <c r="F5" s="27"/>
      <c r="G5" s="27"/>
      <c r="H5" s="27"/>
    </row>
    <row r="6" spans="1:8" ht="78.75" customHeight="1">
      <c r="A6" s="22" t="s">
        <v>0</v>
      </c>
      <c r="B6" s="24" t="s">
        <v>1</v>
      </c>
      <c r="C6" s="22" t="s">
        <v>2</v>
      </c>
      <c r="D6" s="22" t="s">
        <v>10</v>
      </c>
      <c r="E6" s="22" t="s">
        <v>3</v>
      </c>
      <c r="F6" s="22" t="s">
        <v>4</v>
      </c>
      <c r="G6" s="22" t="s">
        <v>5</v>
      </c>
      <c r="H6" s="24" t="s">
        <v>6</v>
      </c>
    </row>
    <row r="7" spans="1:8" ht="15" customHeight="1">
      <c r="A7" s="23"/>
      <c r="B7" s="25"/>
      <c r="C7" s="23"/>
      <c r="D7" s="23"/>
      <c r="E7" s="23"/>
      <c r="F7" s="23"/>
      <c r="G7" s="23"/>
      <c r="H7" s="25"/>
    </row>
    <row r="8" spans="1:8" ht="15">
      <c r="A8" s="10">
        <v>1</v>
      </c>
      <c r="B8" s="11" t="s">
        <v>13</v>
      </c>
      <c r="C8" s="10"/>
      <c r="D8" s="12">
        <f>22.26</f>
        <v>22.26</v>
      </c>
      <c r="E8" s="12">
        <f>10.1366-2.896163+8.8681+0.0567-1.67376</f>
        <v>14.491476999999998</v>
      </c>
      <c r="F8" s="12">
        <v>0</v>
      </c>
      <c r="G8" s="15">
        <f>24.7104*0.0317-0.0006</f>
        <v>0.7827196799999999</v>
      </c>
      <c r="H8" s="5">
        <f>G8/5903.74</f>
        <v>0.00013258031010850748</v>
      </c>
    </row>
    <row r="9" spans="1:8" ht="15">
      <c r="A9" s="2">
        <v>2</v>
      </c>
      <c r="B9" s="3" t="s">
        <v>8</v>
      </c>
      <c r="C9" s="5"/>
      <c r="D9" s="5">
        <f>450.8</f>
        <v>450.8</v>
      </c>
      <c r="E9" s="14">
        <f>319.77-91.2+279.75+1.79-52.8</f>
        <v>457.31</v>
      </c>
      <c r="F9" s="15">
        <v>0</v>
      </c>
      <c r="G9" s="15">
        <f>D9-E9-F9+0.6802</f>
        <v>-5.829799999999991</v>
      </c>
      <c r="H9" s="5">
        <f aca="true" t="shared" si="0" ref="H9:H14">G9/5903.74</f>
        <v>-0.0009874757357200674</v>
      </c>
    </row>
    <row r="10" spans="1:8" ht="15">
      <c r="A10" s="2">
        <v>3</v>
      </c>
      <c r="B10" s="3" t="s">
        <v>12</v>
      </c>
      <c r="C10" s="6" t="s">
        <v>31</v>
      </c>
      <c r="D10" s="4">
        <f>75691-74891</f>
        <v>800</v>
      </c>
      <c r="E10" s="14">
        <f>298.76-85.36+500.9+59.35-48.5</f>
        <v>725.15</v>
      </c>
      <c r="F10" s="15">
        <v>0</v>
      </c>
      <c r="G10" s="15">
        <f>24.7104+0.0001</f>
        <v>24.7105</v>
      </c>
      <c r="H10" s="5">
        <f t="shared" si="0"/>
        <v>0.004185567115082982</v>
      </c>
    </row>
    <row r="11" spans="1:8" ht="15">
      <c r="A11" s="2">
        <v>4</v>
      </c>
      <c r="B11" s="3" t="s">
        <v>9</v>
      </c>
      <c r="C11" s="6"/>
      <c r="D11" s="4">
        <f>D9+D10</f>
        <v>1250.8</v>
      </c>
      <c r="E11" s="14">
        <f>520.8-148.68+713.16+51.46+154.16-24+20.74-3.88-101.3</f>
        <v>1182.46</v>
      </c>
      <c r="F11" s="15">
        <f>F9+F10</f>
        <v>0</v>
      </c>
      <c r="G11" s="15">
        <v>0</v>
      </c>
      <c r="H11" s="5">
        <f t="shared" si="0"/>
        <v>0</v>
      </c>
    </row>
    <row r="12" spans="1:8" ht="15">
      <c r="A12" s="28">
        <v>5</v>
      </c>
      <c r="B12" s="13" t="s">
        <v>14</v>
      </c>
      <c r="C12" s="6"/>
      <c r="D12" s="9">
        <f>12641</f>
        <v>12641</v>
      </c>
      <c r="E12" s="15">
        <f>15733-102</f>
        <v>15631</v>
      </c>
      <c r="F12" s="15">
        <v>0</v>
      </c>
      <c r="G12" s="15">
        <f>D12-E12-F12-0.0002</f>
        <v>-2990.0002</v>
      </c>
      <c r="H12" s="5">
        <f t="shared" si="0"/>
        <v>-0.5064586516343877</v>
      </c>
    </row>
    <row r="13" spans="1:8" ht="15">
      <c r="A13" s="29"/>
      <c r="B13" s="13" t="s">
        <v>15</v>
      </c>
      <c r="C13" s="6"/>
      <c r="D13" s="9">
        <f>11157</f>
        <v>11157</v>
      </c>
      <c r="E13" s="15">
        <f>4515</f>
        <v>4515</v>
      </c>
      <c r="F13" s="15">
        <v>0</v>
      </c>
      <c r="G13" s="15">
        <f>D13-E13-F13-0.0007</f>
        <v>6641.9993</v>
      </c>
      <c r="H13" s="5">
        <f t="shared" si="0"/>
        <v>1.1250494262958737</v>
      </c>
    </row>
    <row r="14" spans="1:8" ht="15">
      <c r="A14" s="30"/>
      <c r="B14" s="8" t="s">
        <v>11</v>
      </c>
      <c r="C14" s="8"/>
      <c r="D14" s="4">
        <f>SUM(D12:D13)</f>
        <v>23798</v>
      </c>
      <c r="E14" s="14">
        <f>SUM(E12:E13)</f>
        <v>20146</v>
      </c>
      <c r="F14" s="14">
        <f>SUM(F12:F13)</f>
        <v>0</v>
      </c>
      <c r="G14" s="14">
        <f>SUM(G12:G13)</f>
        <v>3651.9991000000005</v>
      </c>
      <c r="H14" s="5">
        <f t="shared" si="0"/>
        <v>0.6185907746614858</v>
      </c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</sheetData>
  <sheetProtection/>
  <mergeCells count="18">
    <mergeCell ref="G6:G7"/>
    <mergeCell ref="H6:H7"/>
    <mergeCell ref="H2:H3"/>
    <mergeCell ref="A5:H5"/>
    <mergeCell ref="A6:A7"/>
    <mergeCell ref="B6:B7"/>
    <mergeCell ref="C6:C7"/>
    <mergeCell ref="D6:D7"/>
    <mergeCell ref="A12:A14"/>
    <mergeCell ref="G2:G3"/>
    <mergeCell ref="E6:E7"/>
    <mergeCell ref="F6:F7"/>
    <mergeCell ref="A2:A3"/>
    <mergeCell ref="B2:B3"/>
    <mergeCell ref="C2:C3"/>
    <mergeCell ref="D2:D3"/>
    <mergeCell ref="E2:E3"/>
    <mergeCell ref="F2:F3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6" sqref="B6:B7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8.8515625" style="0" customWidth="1"/>
    <col min="4" max="4" width="15.57421875" style="0" customWidth="1"/>
    <col min="5" max="5" width="16.7109375" style="0" customWidth="1"/>
    <col min="6" max="6" width="17.00390625" style="0" customWidth="1"/>
    <col min="7" max="7" width="12.00390625" style="0" customWidth="1"/>
    <col min="8" max="8" width="11.8515625" style="0" customWidth="1"/>
    <col min="9" max="9" width="9.57421875" style="0" bestFit="1" customWidth="1"/>
  </cols>
  <sheetData>
    <row r="2" spans="1:8" ht="15.75" customHeight="1">
      <c r="A2" s="31"/>
      <c r="B2" s="26"/>
      <c r="C2" s="31"/>
      <c r="D2" s="31"/>
      <c r="E2" s="31"/>
      <c r="F2" s="31"/>
      <c r="G2" s="31"/>
      <c r="H2" s="26"/>
    </row>
    <row r="3" spans="1:8" ht="15">
      <c r="A3" s="31"/>
      <c r="B3" s="26"/>
      <c r="C3" s="31"/>
      <c r="D3" s="31"/>
      <c r="E3" s="31"/>
      <c r="F3" s="31"/>
      <c r="G3" s="31"/>
      <c r="H3" s="26"/>
    </row>
    <row r="4" spans="2:3" ht="15.75">
      <c r="B4" s="7" t="s">
        <v>32</v>
      </c>
      <c r="C4" s="7"/>
    </row>
    <row r="5" spans="1:8" ht="15">
      <c r="A5" s="27" t="s">
        <v>7</v>
      </c>
      <c r="B5" s="27"/>
      <c r="C5" s="27"/>
      <c r="D5" s="27"/>
      <c r="E5" s="27"/>
      <c r="F5" s="27"/>
      <c r="G5" s="27"/>
      <c r="H5" s="27"/>
    </row>
    <row r="6" spans="1:8" ht="78.75" customHeight="1">
      <c r="A6" s="22" t="s">
        <v>0</v>
      </c>
      <c r="B6" s="24" t="s">
        <v>1</v>
      </c>
      <c r="C6" s="22" t="s">
        <v>2</v>
      </c>
      <c r="D6" s="22" t="s">
        <v>10</v>
      </c>
      <c r="E6" s="22" t="s">
        <v>3</v>
      </c>
      <c r="F6" s="22" t="s">
        <v>4</v>
      </c>
      <c r="G6" s="22" t="s">
        <v>5</v>
      </c>
      <c r="H6" s="24" t="s">
        <v>6</v>
      </c>
    </row>
    <row r="7" spans="1:8" ht="15" customHeight="1">
      <c r="A7" s="23"/>
      <c r="B7" s="25"/>
      <c r="C7" s="23"/>
      <c r="D7" s="23"/>
      <c r="E7" s="23"/>
      <c r="F7" s="23"/>
      <c r="G7" s="23"/>
      <c r="H7" s="25"/>
    </row>
    <row r="8" spans="1:8" ht="15">
      <c r="A8" s="10">
        <v>1</v>
      </c>
      <c r="B8" s="11" t="s">
        <v>13</v>
      </c>
      <c r="C8" s="10"/>
      <c r="D8" s="12">
        <f>29.5</f>
        <v>29.5</v>
      </c>
      <c r="E8" s="12">
        <f>14.2575-4.0736+15.6858+0.0952+0.0007</f>
        <v>25.9656</v>
      </c>
      <c r="F8" s="12">
        <v>0</v>
      </c>
      <c r="G8" s="15">
        <f>24.7104*0.0462-0.0002</f>
        <v>1.14142048</v>
      </c>
      <c r="H8" s="5">
        <f aca="true" t="shared" si="0" ref="H8:H14">G8/5903.74</f>
        <v>0.0001933385413314272</v>
      </c>
    </row>
    <row r="9" spans="1:8" ht="15">
      <c r="A9" s="2">
        <v>2</v>
      </c>
      <c r="B9" s="3" t="s">
        <v>8</v>
      </c>
      <c r="C9" s="5"/>
      <c r="D9" s="5">
        <f>538.6</f>
        <v>538.6</v>
      </c>
      <c r="E9" s="14">
        <f>308.55-88+339.52+2.06</f>
        <v>562.1299999999999</v>
      </c>
      <c r="F9" s="15">
        <v>0</v>
      </c>
      <c r="G9" s="15">
        <f>D9-E9-F9+2.5868</f>
        <v>-20.94319999999986</v>
      </c>
      <c r="H9" s="5">
        <f t="shared" si="0"/>
        <v>-0.0035474461951237454</v>
      </c>
    </row>
    <row r="10" spans="1:8" ht="15">
      <c r="A10" s="2">
        <v>3</v>
      </c>
      <c r="B10" s="3" t="s">
        <v>12</v>
      </c>
      <c r="C10" s="6" t="s">
        <v>33</v>
      </c>
      <c r="D10" s="4">
        <f>76486-75691</f>
        <v>795</v>
      </c>
      <c r="E10" s="14">
        <f>278.39-79.54+475.46+11.34</f>
        <v>685.65</v>
      </c>
      <c r="F10" s="15">
        <v>0</v>
      </c>
      <c r="G10" s="15">
        <f>24.7104+0.0001</f>
        <v>24.7105</v>
      </c>
      <c r="H10" s="5">
        <f t="shared" si="0"/>
        <v>0.004185567115082982</v>
      </c>
    </row>
    <row r="11" spans="1:8" ht="15">
      <c r="A11" s="2">
        <v>4</v>
      </c>
      <c r="B11" s="3" t="s">
        <v>9</v>
      </c>
      <c r="C11" s="6"/>
      <c r="D11" s="4">
        <f>D9+D10</f>
        <v>1333.6</v>
      </c>
      <c r="E11" s="16">
        <f>496-141.6+752.77+2.95+148.29+6.73-24+8.58-1.94</f>
        <v>1247.78</v>
      </c>
      <c r="F11" s="15">
        <f>F9+F10</f>
        <v>0</v>
      </c>
      <c r="G11" s="15">
        <v>0</v>
      </c>
      <c r="H11" s="5">
        <f t="shared" si="0"/>
        <v>0</v>
      </c>
    </row>
    <row r="12" spans="1:8" ht="15">
      <c r="A12" s="28">
        <v>5</v>
      </c>
      <c r="B12" s="13" t="s">
        <v>14</v>
      </c>
      <c r="C12" s="6"/>
      <c r="D12" s="9">
        <f>15126</f>
        <v>15126</v>
      </c>
      <c r="E12" s="15">
        <f>14433-2956-102</f>
        <v>11375</v>
      </c>
      <c r="F12" s="15">
        <v>0</v>
      </c>
      <c r="G12" s="15">
        <f>D12-E12-F12+0.0001</f>
        <v>3751.0001</v>
      </c>
      <c r="H12" s="5">
        <f t="shared" si="0"/>
        <v>0.63535997520216</v>
      </c>
    </row>
    <row r="13" spans="1:8" ht="15">
      <c r="A13" s="29"/>
      <c r="B13" s="13" t="s">
        <v>15</v>
      </c>
      <c r="C13" s="6"/>
      <c r="D13" s="9">
        <f>14272</f>
        <v>14272</v>
      </c>
      <c r="E13" s="15">
        <f>4800</f>
        <v>4800</v>
      </c>
      <c r="F13" s="15">
        <v>0</v>
      </c>
      <c r="G13" s="15">
        <f>3113+0.0006</f>
        <v>3113.0006</v>
      </c>
      <c r="H13" s="5">
        <f t="shared" si="0"/>
        <v>0.5272929702188782</v>
      </c>
    </row>
    <row r="14" spans="1:8" ht="15">
      <c r="A14" s="30"/>
      <c r="B14" s="8" t="s">
        <v>11</v>
      </c>
      <c r="C14" s="8"/>
      <c r="D14" s="4">
        <f>SUM(D12:D13)</f>
        <v>29398</v>
      </c>
      <c r="E14" s="14">
        <f>SUM(E12:E13)</f>
        <v>16175</v>
      </c>
      <c r="F14" s="14">
        <f>SUM(F12:F13)</f>
        <v>0</v>
      </c>
      <c r="G14" s="14">
        <f>SUM(G12:G13)</f>
        <v>6864.0007000000005</v>
      </c>
      <c r="H14" s="5">
        <f t="shared" si="0"/>
        <v>1.1626529454210384</v>
      </c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</sheetData>
  <sheetProtection/>
  <mergeCells count="18">
    <mergeCell ref="A12:A14"/>
    <mergeCell ref="G2:G3"/>
    <mergeCell ref="E6:E7"/>
    <mergeCell ref="F6:F7"/>
    <mergeCell ref="A2:A3"/>
    <mergeCell ref="B2:B3"/>
    <mergeCell ref="C2:C3"/>
    <mergeCell ref="D2:D3"/>
    <mergeCell ref="E2:E3"/>
    <mergeCell ref="F2:F3"/>
    <mergeCell ref="G6:G7"/>
    <mergeCell ref="H6:H7"/>
    <mergeCell ref="H2:H3"/>
    <mergeCell ref="A5:H5"/>
    <mergeCell ref="A6:A7"/>
    <mergeCell ref="B6:B7"/>
    <mergeCell ref="C6:C7"/>
    <mergeCell ref="D6:D7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2012-11-26T03:21:59Z</cp:lastPrinted>
  <dcterms:created xsi:type="dcterms:W3CDTF">2006-09-16T00:00:00Z</dcterms:created>
  <dcterms:modified xsi:type="dcterms:W3CDTF">2017-01-31T11:39:21Z</dcterms:modified>
  <cp:category/>
  <cp:version/>
  <cp:contentType/>
  <cp:contentStatus/>
</cp:coreProperties>
</file>