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1-1 (январь) " sheetId="1" r:id="rId1"/>
    <sheet name="61-1 (февраль)  " sheetId="2" r:id="rId2"/>
    <sheet name="61-1 (март)" sheetId="3" r:id="rId3"/>
    <sheet name="61-1 (апрель)" sheetId="4" r:id="rId4"/>
    <sheet name="61-1 (май)" sheetId="5" r:id="rId5"/>
    <sheet name="61-1 (июнь)" sheetId="6" r:id="rId6"/>
    <sheet name="61-1 (июль)" sheetId="7" r:id="rId7"/>
    <sheet name="61-1 (август)" sheetId="8" r:id="rId8"/>
    <sheet name="61-1 (сентябрь)" sheetId="9" r:id="rId9"/>
    <sheet name="61-1 (октябрь)" sheetId="10" r:id="rId10"/>
    <sheet name="61-1 (ноябрь)" sheetId="11" r:id="rId11"/>
    <sheet name="61-1 (декабрь)" sheetId="12" r:id="rId12"/>
    <sheet name="Лист2" sheetId="13" r:id="rId13"/>
    <sheet name="Лист3" sheetId="14" r:id="rId14"/>
  </sheets>
  <definedNames/>
  <calcPr fullCalcOnLoad="1"/>
</workbook>
</file>

<file path=xl/sharedStrings.xml><?xml version="1.0" encoding="utf-8"?>
<sst xmlns="http://schemas.openxmlformats.org/spreadsheetml/2006/main" count="299" uniqueCount="49">
  <si>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</si>
  <si>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</si>
  <si>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</si>
  <si>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</si>
  <si>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</si>
  <si>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</si>
  <si>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</si>
  <si>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</si>
  <si>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Викулова 61-1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</si>
  <si>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</si>
  <si>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</si>
  <si>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</si>
  <si>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</si>
  <si>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</si>
  <si>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</si>
  <si>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сч.674305</t>
  </si>
  <si>
    <t>эл.эн.ночь № сч.674305</t>
  </si>
  <si>
    <t>эл.эн.день № сч.684499</t>
  </si>
  <si>
    <t>эл.эн.ночь № сч.684499</t>
  </si>
  <si>
    <t>ХВС (тонн)</t>
  </si>
  <si>
    <t>день эл.эн.</t>
  </si>
  <si>
    <t>ночь эл.эн.</t>
  </si>
  <si>
    <t>Объем коммунальных услуг по показаниям общедомовых приборов учета (ОДН) за январь в феврале 2013г.</t>
  </si>
  <si>
    <t>43528/44232</t>
  </si>
  <si>
    <t>Объем коммунальных услуг по показаниям общедомовых приборов учета (ОДН) за февраль в марте 2013г.</t>
  </si>
  <si>
    <t>44232./45058</t>
  </si>
  <si>
    <t>Объем коммунальных услуг по показаниям общедомовых приборов учета (ОДН) за март в апреле 2013г.</t>
  </si>
  <si>
    <t>45058./45768</t>
  </si>
  <si>
    <t>Объем коммунальных услуг по показаниям общедомовых приборов учета (ОДН) за апрель в мае 2013г.</t>
  </si>
  <si>
    <t>нагрев воды (Г.кал.)</t>
  </si>
  <si>
    <t>45768./46517</t>
  </si>
  <si>
    <t>Объем коммунальных услуг по показаниям общедомовых приборов учета (ОДН) за май в июне 2013г.</t>
  </si>
  <si>
    <t>46517,/47213</t>
  </si>
  <si>
    <t>Объем коммунальных услуг по показаниям общедомовых приборов учета (ОДН) за июнь в июле 2013г.</t>
  </si>
  <si>
    <t>47213,/47965</t>
  </si>
  <si>
    <t>Объем коммунальных услуг по показаниям общедомовых приборов учета (ОДН) за июль в августе 2013г.</t>
  </si>
  <si>
    <t>47965,/48735</t>
  </si>
  <si>
    <t>Объем коммунальных услуг по показаниям общедомовых приборов учета (ОДН) за август в сентябре 2013г.</t>
  </si>
  <si>
    <t>48735,/49560</t>
  </si>
  <si>
    <t>Объем коммунальных услуг по показаниям общедомовых приборов учета (ОДН) за сентябрь в октябре 2013г.</t>
  </si>
  <si>
    <t>49560,/50321</t>
  </si>
  <si>
    <t>Объем коммунальных услуг по показаниям общедомовых приборов учета (ОДН) за октябрь в ноябре 2013г.</t>
  </si>
  <si>
    <t>50321,/51121</t>
  </si>
  <si>
    <t>Объем коммунальных услуг по показаниям общедомовых приборов учета (ОДН) за ноябрь в декабре 2013г.</t>
  </si>
  <si>
    <t>51121,/51999</t>
  </si>
  <si>
    <t>51999,/53019</t>
  </si>
  <si>
    <t>эл.эн.день № сч.279547</t>
  </si>
  <si>
    <t>эл.эн.ночь № сч.279547</t>
  </si>
  <si>
    <t>Объем коммунальных услуг по показаниям общедомовых приборов учета (ОДН) за декабрь в январе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</si>
</sst>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1" sqref="A11:A14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22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3">
        <v>1</v>
      </c>
      <c r="B8" s="4" t="s">
        <v>9</v>
      </c>
      <c r="C8" s="7"/>
      <c r="D8" s="9"/>
      <c r="E8" s="9"/>
      <c r="F8" s="7">
        <v>530.71</v>
      </c>
      <c r="G8" s="6">
        <f>305.3329+162.86+78.95</f>
        <v>547.1429</v>
      </c>
      <c r="H8" s="8">
        <v>0</v>
      </c>
      <c r="I8" s="8">
        <f aca="true" t="shared" si="0" ref="I8:I14">F8-G8-H8</f>
        <v>-16.432900000000018</v>
      </c>
      <c r="J8" s="7">
        <f aca="true" t="shared" si="1" ref="J8:J17">I8/5904.14</f>
        <v>-0.002783284271714427</v>
      </c>
    </row>
    <row r="9" spans="1:10" ht="15">
      <c r="A9" s="3">
        <v>2</v>
      </c>
      <c r="B9" s="4" t="s">
        <v>19</v>
      </c>
      <c r="C9" s="8" t="s">
        <v>23</v>
      </c>
      <c r="D9" s="9"/>
      <c r="E9" s="9"/>
      <c r="F9" s="6">
        <v>704</v>
      </c>
      <c r="G9" s="6">
        <f>398.3929+278.71+84.56</f>
        <v>761.6629</v>
      </c>
      <c r="H9" s="8">
        <v>0</v>
      </c>
      <c r="I9" s="8">
        <f t="shared" si="0"/>
        <v>-57.662900000000036</v>
      </c>
      <c r="J9" s="7">
        <f t="shared" si="1"/>
        <v>-0.009766519764097741</v>
      </c>
    </row>
    <row r="10" spans="1:10" ht="15">
      <c r="A10" s="3">
        <v>3</v>
      </c>
      <c r="B10" s="4" t="s">
        <v>10</v>
      </c>
      <c r="C10" s="8"/>
      <c r="D10" s="9"/>
      <c r="E10" s="9"/>
      <c r="F10" s="6">
        <f>F8+F9</f>
        <v>1234.71</v>
      </c>
      <c r="G10" s="6">
        <f>656.9057+450.63+119.73+17.72+63.79+0.03</f>
        <v>1308.8057</v>
      </c>
      <c r="H10" s="8">
        <f>H8+H9</f>
        <v>0</v>
      </c>
      <c r="I10" s="8">
        <f t="shared" si="0"/>
        <v>-74.09569999999985</v>
      </c>
      <c r="J10" s="7">
        <f t="shared" si="1"/>
        <v>-0.012549787098544386</v>
      </c>
    </row>
    <row r="11" spans="1:10" ht="15">
      <c r="A11" s="35">
        <v>4</v>
      </c>
      <c r="B11" s="4" t="s">
        <v>15</v>
      </c>
      <c r="C11" s="8"/>
      <c r="D11" s="12">
        <f>12553</f>
        <v>12553</v>
      </c>
      <c r="E11" s="12">
        <v>12646</v>
      </c>
      <c r="F11" s="21">
        <f>(E11-D11)*10</f>
        <v>930</v>
      </c>
      <c r="G11" s="8">
        <v>0</v>
      </c>
      <c r="H11" s="8">
        <v>0</v>
      </c>
      <c r="I11" s="8">
        <f t="shared" si="0"/>
        <v>930</v>
      </c>
      <c r="J11" s="7">
        <f t="shared" si="1"/>
        <v>0.15751659005375887</v>
      </c>
    </row>
    <row r="12" spans="1:10" ht="15">
      <c r="A12" s="36"/>
      <c r="B12" s="4" t="s">
        <v>16</v>
      </c>
      <c r="C12" s="8"/>
      <c r="D12" s="12">
        <v>8779</v>
      </c>
      <c r="E12" s="12">
        <v>8839</v>
      </c>
      <c r="F12" s="21">
        <f>(E12-D12)*10</f>
        <v>600</v>
      </c>
      <c r="G12" s="8">
        <v>0</v>
      </c>
      <c r="H12" s="8">
        <v>0</v>
      </c>
      <c r="I12" s="8">
        <f t="shared" si="0"/>
        <v>600</v>
      </c>
      <c r="J12" s="7">
        <f t="shared" si="1"/>
        <v>0.10162360648629605</v>
      </c>
    </row>
    <row r="13" spans="1:10" ht="15">
      <c r="A13" s="36"/>
      <c r="B13" s="4" t="s">
        <v>17</v>
      </c>
      <c r="C13" s="8"/>
      <c r="D13" s="12">
        <v>13190</v>
      </c>
      <c r="E13" s="12">
        <v>13335</v>
      </c>
      <c r="F13" s="7">
        <f>(E13-D13)*10</f>
        <v>1450</v>
      </c>
      <c r="G13" s="8">
        <v>0</v>
      </c>
      <c r="H13" s="8">
        <v>0</v>
      </c>
      <c r="I13" s="8">
        <f t="shared" si="0"/>
        <v>1450</v>
      </c>
      <c r="J13" s="7">
        <f t="shared" si="1"/>
        <v>0.24559038234188213</v>
      </c>
    </row>
    <row r="14" spans="1:10" ht="15">
      <c r="A14" s="36"/>
      <c r="B14" s="4" t="s">
        <v>18</v>
      </c>
      <c r="C14" s="8"/>
      <c r="D14" s="12">
        <v>10132</v>
      </c>
      <c r="E14" s="12">
        <v>10290</v>
      </c>
      <c r="F14" s="7">
        <f>(E14-D14)*10</f>
        <v>1580</v>
      </c>
      <c r="G14" s="8">
        <v>0</v>
      </c>
      <c r="H14" s="8">
        <v>0</v>
      </c>
      <c r="I14" s="8">
        <f t="shared" si="0"/>
        <v>1580</v>
      </c>
      <c r="J14" s="7">
        <f t="shared" si="1"/>
        <v>0.2676088304139129</v>
      </c>
    </row>
    <row r="15" spans="1:10" ht="15">
      <c r="A15" s="13"/>
      <c r="B15" s="13" t="s">
        <v>14</v>
      </c>
      <c r="C15" s="13"/>
      <c r="D15" s="15"/>
      <c r="E15" s="13"/>
      <c r="F15" s="14">
        <f>SUM(F11:F14)</f>
        <v>4560</v>
      </c>
      <c r="G15" s="14">
        <f>SUM(G11:G14)</f>
        <v>0</v>
      </c>
      <c r="H15" s="14">
        <f>SUM(H11:H14)</f>
        <v>0</v>
      </c>
      <c r="I15" s="14">
        <f>SUM(I11:I14)</f>
        <v>4560</v>
      </c>
      <c r="J15" s="7">
        <f t="shared" si="1"/>
        <v>0.77233940929585</v>
      </c>
    </row>
    <row r="16" spans="1:12" ht="15">
      <c r="A16" s="1"/>
      <c r="B16" s="1"/>
      <c r="C16" s="1"/>
      <c r="D16" s="1"/>
      <c r="E16" s="1" t="s">
        <v>20</v>
      </c>
      <c r="F16" s="18">
        <f aca="true" t="shared" si="2" ref="F16:I17">F11+F13</f>
        <v>2380</v>
      </c>
      <c r="G16" s="18">
        <f t="shared" si="2"/>
        <v>0</v>
      </c>
      <c r="H16" s="18">
        <f t="shared" si="2"/>
        <v>0</v>
      </c>
      <c r="I16" s="18">
        <f t="shared" si="2"/>
        <v>2380</v>
      </c>
      <c r="J16" s="7">
        <f t="shared" si="1"/>
        <v>0.40310697239564103</v>
      </c>
      <c r="L16" s="19"/>
    </row>
    <row r="17" spans="1:12" ht="15">
      <c r="A17" s="1"/>
      <c r="B17" s="1"/>
      <c r="C17" s="1"/>
      <c r="D17" s="1"/>
      <c r="E17" s="1" t="s">
        <v>21</v>
      </c>
      <c r="F17" s="16">
        <f t="shared" si="2"/>
        <v>2180</v>
      </c>
      <c r="G17" s="16">
        <f t="shared" si="2"/>
        <v>0</v>
      </c>
      <c r="H17" s="16">
        <f t="shared" si="2"/>
        <v>0</v>
      </c>
      <c r="I17" s="16">
        <f t="shared" si="2"/>
        <v>2180</v>
      </c>
      <c r="J17" s="7">
        <f t="shared" si="1"/>
        <v>0.36923243690020896</v>
      </c>
      <c r="K17" s="20"/>
      <c r="L17" s="19"/>
    </row>
    <row r="18" spans="1:9" ht="15">
      <c r="A18" s="1"/>
      <c r="B18" s="1"/>
      <c r="C18" s="1"/>
      <c r="D18" s="1"/>
      <c r="E18" s="1"/>
      <c r="F18" s="16"/>
      <c r="G18" s="1"/>
      <c r="H18" s="2"/>
      <c r="I18" s="19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I6:I7"/>
    <mergeCell ref="J6:J7"/>
    <mergeCell ref="A11:A14"/>
    <mergeCell ref="J2:J3"/>
    <mergeCell ref="A5:J5"/>
    <mergeCell ref="A6:A7"/>
    <mergeCell ref="B6:B7"/>
    <mergeCell ref="C6:C7"/>
    <mergeCell ref="D6:E6"/>
    <mergeCell ref="F6:F7"/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41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22">
        <v>1</v>
      </c>
      <c r="B8" s="23" t="s">
        <v>29</v>
      </c>
      <c r="C8" s="22"/>
      <c r="D8" s="24"/>
      <c r="E8" s="25"/>
      <c r="F8" s="22">
        <f>43.05</f>
        <v>43.05</v>
      </c>
      <c r="G8" s="26">
        <f>G9*0.0478</f>
        <v>28.204533399999995</v>
      </c>
      <c r="H8" s="26">
        <v>0</v>
      </c>
      <c r="I8" s="8">
        <f>24.2154*0.0478</f>
        <v>1.15749612</v>
      </c>
      <c r="J8" s="7">
        <f aca="true" t="shared" si="0" ref="J8:J18">I8/5904.24</f>
        <v>0.00019604489654892078</v>
      </c>
    </row>
    <row r="9" spans="1:10" ht="15">
      <c r="A9" s="3">
        <v>2</v>
      </c>
      <c r="B9" s="4" t="s">
        <v>9</v>
      </c>
      <c r="C9" s="7"/>
      <c r="D9" s="9"/>
      <c r="E9" s="9"/>
      <c r="F9" s="7">
        <f>550.1</f>
        <v>550.1</v>
      </c>
      <c r="G9" s="6">
        <f>312.78+243.843+33.43</f>
        <v>590.0529999999999</v>
      </c>
      <c r="H9" s="8">
        <v>0</v>
      </c>
      <c r="I9" s="8">
        <f>F9-G9-H9</f>
        <v>-39.95299999999986</v>
      </c>
      <c r="J9" s="7">
        <f t="shared" si="0"/>
        <v>-0.006766831971600047</v>
      </c>
    </row>
    <row r="10" spans="1:10" ht="15">
      <c r="A10" s="3">
        <v>3</v>
      </c>
      <c r="B10" s="4" t="s">
        <v>19</v>
      </c>
      <c r="C10" s="8" t="s">
        <v>42</v>
      </c>
      <c r="D10" s="9"/>
      <c r="E10" s="9"/>
      <c r="F10" s="6">
        <f>800</f>
        <v>800</v>
      </c>
      <c r="G10" s="6">
        <f>368.6+290.025+24.03</f>
        <v>682.655</v>
      </c>
      <c r="H10" s="8">
        <v>0</v>
      </c>
      <c r="I10" s="8">
        <f>24.2154</f>
        <v>24.2154</v>
      </c>
      <c r="J10" s="7">
        <f t="shared" si="0"/>
        <v>0.004101357668387464</v>
      </c>
    </row>
    <row r="11" spans="1:10" ht="15">
      <c r="A11" s="3">
        <v>4</v>
      </c>
      <c r="B11" s="4" t="s">
        <v>10</v>
      </c>
      <c r="C11" s="8"/>
      <c r="D11" s="9"/>
      <c r="E11" s="9"/>
      <c r="F11" s="6">
        <f>F9+F10</f>
        <v>1350.1</v>
      </c>
      <c r="G11" s="6">
        <f>602.48+485.158+50.27+68.46+1.63+64.71</f>
        <v>1272.708</v>
      </c>
      <c r="H11" s="8">
        <f>H9+H10</f>
        <v>0</v>
      </c>
      <c r="I11" s="8">
        <v>0</v>
      </c>
      <c r="J11" s="7">
        <f t="shared" si="0"/>
        <v>0</v>
      </c>
    </row>
    <row r="12" spans="1:10" ht="15">
      <c r="A12" s="35">
        <v>5</v>
      </c>
      <c r="B12" s="4" t="s">
        <v>15</v>
      </c>
      <c r="C12" s="8"/>
      <c r="D12" s="12">
        <v>13159</v>
      </c>
      <c r="E12" s="12">
        <v>13224</v>
      </c>
      <c r="F12" s="21">
        <f>(E12-D12)*10</f>
        <v>650</v>
      </c>
      <c r="G12" s="8">
        <v>0</v>
      </c>
      <c r="H12" s="8">
        <v>0</v>
      </c>
      <c r="I12" s="8">
        <f>F12-G12-H12</f>
        <v>650</v>
      </c>
      <c r="J12" s="7">
        <f t="shared" si="0"/>
        <v>0.11009037572998388</v>
      </c>
    </row>
    <row r="13" spans="1:10" ht="15">
      <c r="A13" s="36"/>
      <c r="B13" s="4" t="s">
        <v>16</v>
      </c>
      <c r="C13" s="8"/>
      <c r="D13" s="12">
        <v>9128</v>
      </c>
      <c r="E13" s="12">
        <v>9169</v>
      </c>
      <c r="F13" s="21">
        <f>(E13-D13)*10</f>
        <v>410</v>
      </c>
      <c r="G13" s="8">
        <v>0</v>
      </c>
      <c r="H13" s="8">
        <v>0</v>
      </c>
      <c r="I13" s="8">
        <f>F13-G13-H13</f>
        <v>410</v>
      </c>
      <c r="J13" s="7">
        <f t="shared" si="0"/>
        <v>0.06944162161429752</v>
      </c>
    </row>
    <row r="14" spans="1:10" ht="15">
      <c r="A14" s="36"/>
      <c r="B14" s="4" t="s">
        <v>17</v>
      </c>
      <c r="C14" s="8"/>
      <c r="D14" s="12">
        <v>14166</v>
      </c>
      <c r="E14" s="12">
        <v>14277</v>
      </c>
      <c r="F14" s="7">
        <f>(E14-D14)*10</f>
        <v>1110</v>
      </c>
      <c r="G14" s="8">
        <v>0</v>
      </c>
      <c r="H14" s="8">
        <v>0</v>
      </c>
      <c r="I14" s="8">
        <f>F14-G14-H14</f>
        <v>1110</v>
      </c>
      <c r="J14" s="7">
        <f t="shared" si="0"/>
        <v>0.1880004877850494</v>
      </c>
    </row>
    <row r="15" spans="1:10" ht="15.75" customHeight="1">
      <c r="A15" s="36"/>
      <c r="B15" s="4" t="s">
        <v>18</v>
      </c>
      <c r="C15" s="8"/>
      <c r="D15" s="12">
        <v>11170</v>
      </c>
      <c r="E15" s="12">
        <v>11289</v>
      </c>
      <c r="F15" s="7">
        <f>(E15-D15)*10</f>
        <v>1190</v>
      </c>
      <c r="G15" s="8">
        <v>0</v>
      </c>
      <c r="H15" s="8">
        <v>0</v>
      </c>
      <c r="I15" s="8">
        <f>F15-G15-H15</f>
        <v>1190</v>
      </c>
      <c r="J15" s="7">
        <f t="shared" si="0"/>
        <v>0.20155007249027818</v>
      </c>
    </row>
    <row r="16" spans="1:12" ht="15">
      <c r="A16" s="42"/>
      <c r="B16" s="13" t="s">
        <v>14</v>
      </c>
      <c r="C16" s="13"/>
      <c r="D16" s="15"/>
      <c r="E16" s="13"/>
      <c r="F16" s="14">
        <f>SUM(F12:F15)</f>
        <v>3360</v>
      </c>
      <c r="G16" s="14">
        <f>SUM(G12:G15)</f>
        <v>0</v>
      </c>
      <c r="H16" s="14">
        <f>SUM(H12:H15)</f>
        <v>0</v>
      </c>
      <c r="I16" s="14">
        <f>SUM(I12:I15)</f>
        <v>3360</v>
      </c>
      <c r="J16" s="7">
        <f t="shared" si="0"/>
        <v>0.569082557619609</v>
      </c>
      <c r="L16" s="19"/>
    </row>
    <row r="17" spans="1:12" ht="15">
      <c r="A17" s="1"/>
      <c r="B17" s="1"/>
      <c r="C17" s="1"/>
      <c r="D17" s="1"/>
      <c r="E17" s="1" t="s">
        <v>20</v>
      </c>
      <c r="F17" s="18">
        <f aca="true" t="shared" si="1" ref="F17:I18">F12+F14</f>
        <v>1760</v>
      </c>
      <c r="G17" s="18">
        <f t="shared" si="1"/>
        <v>0</v>
      </c>
      <c r="H17" s="18">
        <f t="shared" si="1"/>
        <v>0</v>
      </c>
      <c r="I17" s="18">
        <f t="shared" si="1"/>
        <v>1760</v>
      </c>
      <c r="J17" s="7">
        <f t="shared" si="0"/>
        <v>0.2980908635150333</v>
      </c>
      <c r="K17" s="20"/>
      <c r="L17" s="19"/>
    </row>
    <row r="18" spans="1:10" ht="15">
      <c r="A18" s="1"/>
      <c r="B18" s="1"/>
      <c r="C18" s="1"/>
      <c r="D18" s="1"/>
      <c r="E18" s="1" t="s">
        <v>21</v>
      </c>
      <c r="F18" s="16">
        <f t="shared" si="1"/>
        <v>1600</v>
      </c>
      <c r="G18" s="16">
        <f t="shared" si="1"/>
        <v>0</v>
      </c>
      <c r="H18" s="16">
        <f t="shared" si="1"/>
        <v>0</v>
      </c>
      <c r="I18" s="16">
        <f t="shared" si="1"/>
        <v>1600</v>
      </c>
      <c r="J18" s="7">
        <f t="shared" si="0"/>
        <v>0.2709916941045757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  <mergeCell ref="A12:A16"/>
    <mergeCell ref="I6:I7"/>
    <mergeCell ref="J6:J7"/>
    <mergeCell ref="J2:J3"/>
    <mergeCell ref="A5:J5"/>
    <mergeCell ref="A6:A7"/>
    <mergeCell ref="B6:B7"/>
    <mergeCell ref="C6:C7"/>
    <mergeCell ref="D6:E6"/>
    <mergeCell ref="F6:F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43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22">
        <v>1</v>
      </c>
      <c r="B8" s="23" t="s">
        <v>29</v>
      </c>
      <c r="C8" s="22"/>
      <c r="D8" s="24"/>
      <c r="E8" s="25"/>
      <c r="F8" s="22">
        <f>42.62</f>
        <v>42.62</v>
      </c>
      <c r="G8" s="26">
        <f>G9*0.0478</f>
        <v>32.468962600000005</v>
      </c>
      <c r="H8" s="26">
        <v>0</v>
      </c>
      <c r="I8" s="8">
        <f>24.2154*0.0478</f>
        <v>1.15749612</v>
      </c>
      <c r="J8" s="7">
        <f aca="true" t="shared" si="0" ref="J8:J18">I8/5904.24</f>
        <v>0.00019604489654892078</v>
      </c>
    </row>
    <row r="9" spans="1:10" ht="15">
      <c r="A9" s="3">
        <v>2</v>
      </c>
      <c r="B9" s="4" t="s">
        <v>9</v>
      </c>
      <c r="C9" s="7"/>
      <c r="D9" s="9"/>
      <c r="E9" s="9"/>
      <c r="F9" s="7">
        <f>602.7</f>
        <v>602.7</v>
      </c>
      <c r="G9" s="6">
        <f>336.357+34.14+308.77</f>
        <v>679.267</v>
      </c>
      <c r="H9" s="8">
        <v>0</v>
      </c>
      <c r="I9" s="8">
        <f>F9-G9-H9</f>
        <v>-76.56700000000001</v>
      </c>
      <c r="J9" s="7">
        <f t="shared" si="0"/>
        <v>-0.012968138151565656</v>
      </c>
    </row>
    <row r="10" spans="1:10" ht="15">
      <c r="A10" s="3">
        <v>3</v>
      </c>
      <c r="B10" s="4" t="s">
        <v>19</v>
      </c>
      <c r="C10" s="8" t="s">
        <v>44</v>
      </c>
      <c r="D10" s="9"/>
      <c r="E10" s="9"/>
      <c r="F10" s="6">
        <f>878</f>
        <v>878</v>
      </c>
      <c r="G10" s="6">
        <f>363.75+542.975+63.67</f>
        <v>970.395</v>
      </c>
      <c r="H10" s="8">
        <v>0</v>
      </c>
      <c r="I10" s="8">
        <f>F10-G10-H10</f>
        <v>-92.39499999999998</v>
      </c>
      <c r="J10" s="7">
        <f t="shared" si="0"/>
        <v>-0.015648923485495167</v>
      </c>
    </row>
    <row r="11" spans="1:10" ht="15">
      <c r="A11" s="3">
        <v>4</v>
      </c>
      <c r="B11" s="4" t="s">
        <v>10</v>
      </c>
      <c r="C11" s="8"/>
      <c r="D11" s="9"/>
      <c r="E11" s="9"/>
      <c r="F11" s="6">
        <f>F9+F10</f>
        <v>1480.7</v>
      </c>
      <c r="G11" s="6">
        <f>593.62+849.972+64.45+71.05+67.36+3.21</f>
        <v>1649.662</v>
      </c>
      <c r="H11" s="8">
        <f>H9+H10</f>
        <v>0</v>
      </c>
      <c r="I11" s="8">
        <v>0</v>
      </c>
      <c r="J11" s="7">
        <f t="shared" si="0"/>
        <v>0</v>
      </c>
    </row>
    <row r="12" spans="1:10" ht="15">
      <c r="A12" s="35">
        <v>5</v>
      </c>
      <c r="B12" s="4" t="s">
        <v>15</v>
      </c>
      <c r="C12" s="8"/>
      <c r="D12" s="12">
        <v>13224</v>
      </c>
      <c r="E12" s="12">
        <v>13283</v>
      </c>
      <c r="F12" s="21">
        <f>(E12-D12)*10</f>
        <v>590</v>
      </c>
      <c r="G12" s="8">
        <v>0</v>
      </c>
      <c r="H12" s="8">
        <v>0</v>
      </c>
      <c r="I12" s="8">
        <f>F12-G12-H12</f>
        <v>590</v>
      </c>
      <c r="J12" s="7">
        <f t="shared" si="0"/>
        <v>0.0999281872010623</v>
      </c>
    </row>
    <row r="13" spans="1:10" ht="15">
      <c r="A13" s="36"/>
      <c r="B13" s="4" t="s">
        <v>16</v>
      </c>
      <c r="C13" s="8"/>
      <c r="D13" s="12">
        <v>9169</v>
      </c>
      <c r="E13" s="12">
        <v>9202</v>
      </c>
      <c r="F13" s="21">
        <f>(E13-D13)*10</f>
        <v>330</v>
      </c>
      <c r="G13" s="8">
        <v>0</v>
      </c>
      <c r="H13" s="8">
        <v>0</v>
      </c>
      <c r="I13" s="8">
        <f>F13-G13-H13</f>
        <v>330</v>
      </c>
      <c r="J13" s="7">
        <f t="shared" si="0"/>
        <v>0.055892036909068736</v>
      </c>
    </row>
    <row r="14" spans="1:10" ht="15">
      <c r="A14" s="36"/>
      <c r="B14" s="4" t="s">
        <v>17</v>
      </c>
      <c r="C14" s="8"/>
      <c r="D14" s="12">
        <v>14277</v>
      </c>
      <c r="E14" s="12">
        <v>14378</v>
      </c>
      <c r="F14" s="7">
        <f>(E14-D14)*10</f>
        <v>1010</v>
      </c>
      <c r="G14" s="8">
        <v>0</v>
      </c>
      <c r="H14" s="8">
        <v>0</v>
      </c>
      <c r="I14" s="8">
        <f>F14-G14-H14</f>
        <v>1010</v>
      </c>
      <c r="J14" s="7">
        <f t="shared" si="0"/>
        <v>0.1710635069035134</v>
      </c>
    </row>
    <row r="15" spans="1:10" ht="15.75" customHeight="1">
      <c r="A15" s="36"/>
      <c r="B15" s="4" t="s">
        <v>18</v>
      </c>
      <c r="C15" s="8"/>
      <c r="D15" s="12">
        <v>11289</v>
      </c>
      <c r="E15" s="12">
        <v>11389</v>
      </c>
      <c r="F15" s="7">
        <f>(E15-D15)*10</f>
        <v>1000</v>
      </c>
      <c r="G15" s="8">
        <v>0</v>
      </c>
      <c r="H15" s="8">
        <v>0</v>
      </c>
      <c r="I15" s="8">
        <f>F15-G15-H15</f>
        <v>1000</v>
      </c>
      <c r="J15" s="7">
        <f t="shared" si="0"/>
        <v>0.16936980881535982</v>
      </c>
    </row>
    <row r="16" spans="1:12" ht="15">
      <c r="A16" s="42"/>
      <c r="B16" s="13" t="s">
        <v>14</v>
      </c>
      <c r="C16" s="13"/>
      <c r="D16" s="15"/>
      <c r="E16" s="13"/>
      <c r="F16" s="14">
        <f>SUM(F12:F15)</f>
        <v>2930</v>
      </c>
      <c r="G16" s="14">
        <f>SUM(G12:G15)</f>
        <v>0</v>
      </c>
      <c r="H16" s="14">
        <f>SUM(H12:H15)</f>
        <v>0</v>
      </c>
      <c r="I16" s="14">
        <f>SUM(I12:I15)</f>
        <v>2930</v>
      </c>
      <c r="J16" s="7">
        <f t="shared" si="0"/>
        <v>0.4962535398290043</v>
      </c>
      <c r="L16" s="19"/>
    </row>
    <row r="17" spans="1:12" ht="15">
      <c r="A17" s="1"/>
      <c r="B17" s="1"/>
      <c r="C17" s="1"/>
      <c r="D17" s="1"/>
      <c r="E17" s="1" t="s">
        <v>20</v>
      </c>
      <c r="F17" s="18">
        <f aca="true" t="shared" si="1" ref="F17:I18">F12+F14</f>
        <v>1600</v>
      </c>
      <c r="G17" s="18">
        <f t="shared" si="1"/>
        <v>0</v>
      </c>
      <c r="H17" s="18">
        <f t="shared" si="1"/>
        <v>0</v>
      </c>
      <c r="I17" s="18">
        <f t="shared" si="1"/>
        <v>1600</v>
      </c>
      <c r="J17" s="7">
        <f t="shared" si="0"/>
        <v>0.2709916941045757</v>
      </c>
      <c r="K17" s="20"/>
      <c r="L17" s="19"/>
    </row>
    <row r="18" spans="1:10" ht="15">
      <c r="A18" s="1"/>
      <c r="B18" s="1"/>
      <c r="C18" s="1"/>
      <c r="D18" s="1"/>
      <c r="E18" s="1" t="s">
        <v>21</v>
      </c>
      <c r="F18" s="16">
        <f t="shared" si="1"/>
        <v>1330</v>
      </c>
      <c r="G18" s="16">
        <f t="shared" si="1"/>
        <v>0</v>
      </c>
      <c r="H18" s="16">
        <f t="shared" si="1"/>
        <v>0</v>
      </c>
      <c r="I18" s="16">
        <f t="shared" si="1"/>
        <v>1330</v>
      </c>
      <c r="J18" s="7">
        <f t="shared" si="0"/>
        <v>0.22526184572442856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A12:A16"/>
    <mergeCell ref="I6:I7"/>
    <mergeCell ref="J6:J7"/>
    <mergeCell ref="J2:J3"/>
    <mergeCell ref="A5:J5"/>
    <mergeCell ref="A6:A7"/>
    <mergeCell ref="B6:B7"/>
    <mergeCell ref="C6:C7"/>
    <mergeCell ref="D6:E6"/>
    <mergeCell ref="F6:F7"/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3"/>
  <sheetViews>
    <sheetView tabSelected="1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5" sqref="A5:J5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48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22">
        <v>1</v>
      </c>
      <c r="B8" s="23" t="s">
        <v>29</v>
      </c>
      <c r="C8" s="22"/>
      <c r="D8" s="24"/>
      <c r="E8" s="25"/>
      <c r="F8" s="22">
        <f>55.13</f>
        <v>55.13</v>
      </c>
      <c r="G8" s="26">
        <f>G9*0.0478</f>
        <v>27.088738</v>
      </c>
      <c r="H8" s="26">
        <v>0</v>
      </c>
      <c r="I8" s="26">
        <f>I9*0.0478</f>
        <v>1.15749612</v>
      </c>
      <c r="J8" s="7">
        <f aca="true" t="shared" si="0" ref="J8:J20">I8/5904.24</f>
        <v>0.00019604489654892078</v>
      </c>
    </row>
    <row r="9" spans="1:10" ht="15">
      <c r="A9" s="3">
        <v>2</v>
      </c>
      <c r="B9" s="4" t="s">
        <v>9</v>
      </c>
      <c r="C9" s="7"/>
      <c r="D9" s="9"/>
      <c r="E9" s="9"/>
      <c r="F9" s="7">
        <f>760.3</f>
        <v>760.3</v>
      </c>
      <c r="G9" s="6">
        <f>304.76+242.53+19.42</f>
        <v>566.7099999999999</v>
      </c>
      <c r="H9" s="8">
        <v>0</v>
      </c>
      <c r="I9" s="8">
        <v>24.2154</v>
      </c>
      <c r="J9" s="7">
        <f t="shared" si="0"/>
        <v>0.004101357668387464</v>
      </c>
    </row>
    <row r="10" spans="1:10" ht="15">
      <c r="A10" s="3">
        <v>3</v>
      </c>
      <c r="B10" s="4" t="s">
        <v>19</v>
      </c>
      <c r="C10" s="8" t="s">
        <v>45</v>
      </c>
      <c r="D10" s="9"/>
      <c r="E10" s="9"/>
      <c r="F10" s="6">
        <v>1020</v>
      </c>
      <c r="G10" s="6">
        <f>363.75+343.69+6.56</f>
        <v>714</v>
      </c>
      <c r="H10" s="8">
        <v>0</v>
      </c>
      <c r="I10" s="8">
        <v>24.2154</v>
      </c>
      <c r="J10" s="7">
        <f t="shared" si="0"/>
        <v>0.004101357668387464</v>
      </c>
    </row>
    <row r="11" spans="1:10" ht="15">
      <c r="A11" s="3">
        <v>4</v>
      </c>
      <c r="B11" s="4" t="s">
        <v>10</v>
      </c>
      <c r="C11" s="8"/>
      <c r="D11" s="9"/>
      <c r="E11" s="9"/>
      <c r="F11" s="6">
        <f>F9+F10</f>
        <v>1780.3</v>
      </c>
      <c r="G11" s="6">
        <f>593.62+538.82+17.41+66.01+64.46+0.39</f>
        <v>1280.7100000000003</v>
      </c>
      <c r="H11" s="8">
        <f>H9+H10</f>
        <v>0</v>
      </c>
      <c r="I11" s="8">
        <v>0</v>
      </c>
      <c r="J11" s="7">
        <f t="shared" si="0"/>
        <v>0</v>
      </c>
    </row>
    <row r="12" spans="1:10" ht="15">
      <c r="A12" s="35">
        <v>5</v>
      </c>
      <c r="B12" s="4" t="s">
        <v>15</v>
      </c>
      <c r="C12" s="8"/>
      <c r="D12" s="12">
        <v>13283</v>
      </c>
      <c r="E12" s="12">
        <v>13331</v>
      </c>
      <c r="F12" s="21">
        <f>(E12-D12)*10</f>
        <v>480</v>
      </c>
      <c r="G12" s="8">
        <v>0</v>
      </c>
      <c r="H12" s="8">
        <v>0</v>
      </c>
      <c r="I12" s="8">
        <f aca="true" t="shared" si="1" ref="I12:I17">F12-G12-H12</f>
        <v>480</v>
      </c>
      <c r="J12" s="7">
        <f t="shared" si="0"/>
        <v>0.08129750823137272</v>
      </c>
    </row>
    <row r="13" spans="1:10" ht="15">
      <c r="A13" s="36"/>
      <c r="B13" s="4" t="s">
        <v>16</v>
      </c>
      <c r="C13" s="8"/>
      <c r="D13" s="12">
        <v>9202</v>
      </c>
      <c r="E13" s="12">
        <v>9226</v>
      </c>
      <c r="F13" s="21">
        <f>(E13-D13)*10</f>
        <v>240</v>
      </c>
      <c r="G13" s="8">
        <v>0</v>
      </c>
      <c r="H13" s="8">
        <v>0</v>
      </c>
      <c r="I13" s="8">
        <f t="shared" si="1"/>
        <v>240</v>
      </c>
      <c r="J13" s="7">
        <f t="shared" si="0"/>
        <v>0.04064875411568636</v>
      </c>
    </row>
    <row r="14" spans="1:10" ht="15">
      <c r="A14" s="36"/>
      <c r="B14" s="4" t="s">
        <v>17</v>
      </c>
      <c r="C14" s="8"/>
      <c r="D14" s="12">
        <v>14378</v>
      </c>
      <c r="E14" s="12">
        <v>14454</v>
      </c>
      <c r="F14" s="7">
        <f>(E14-D14)*10</f>
        <v>760</v>
      </c>
      <c r="G14" s="8">
        <v>0</v>
      </c>
      <c r="H14" s="8">
        <v>0</v>
      </c>
      <c r="I14" s="8">
        <f t="shared" si="1"/>
        <v>760</v>
      </c>
      <c r="J14" s="7">
        <f t="shared" si="0"/>
        <v>0.12872105469967346</v>
      </c>
    </row>
    <row r="15" spans="1:10" ht="15.75" customHeight="1">
      <c r="A15" s="36"/>
      <c r="B15" s="4" t="s">
        <v>18</v>
      </c>
      <c r="C15" s="8"/>
      <c r="D15" s="12">
        <v>11389</v>
      </c>
      <c r="E15" s="12">
        <v>11461</v>
      </c>
      <c r="F15" s="7">
        <f>(E15-D15)*10</f>
        <v>720</v>
      </c>
      <c r="G15" s="8">
        <v>0</v>
      </c>
      <c r="H15" s="8">
        <v>0</v>
      </c>
      <c r="I15" s="8">
        <f t="shared" si="1"/>
        <v>720</v>
      </c>
      <c r="J15" s="7">
        <f t="shared" si="0"/>
        <v>0.12194626234705906</v>
      </c>
    </row>
    <row r="16" spans="1:12" ht="15">
      <c r="A16" s="43"/>
      <c r="B16" s="4" t="s">
        <v>46</v>
      </c>
      <c r="C16" s="27"/>
      <c r="D16" s="12">
        <v>2846</v>
      </c>
      <c r="E16" s="28">
        <v>2874</v>
      </c>
      <c r="F16" s="7">
        <f>(E16-D16)*1</f>
        <v>28</v>
      </c>
      <c r="G16" s="27">
        <v>0</v>
      </c>
      <c r="H16" s="27">
        <v>0</v>
      </c>
      <c r="I16" s="27">
        <f t="shared" si="1"/>
        <v>28</v>
      </c>
      <c r="J16" s="7">
        <f t="shared" si="0"/>
        <v>0.004742354646830075</v>
      </c>
      <c r="L16" s="19"/>
    </row>
    <row r="17" spans="1:12" ht="15">
      <c r="A17" s="43"/>
      <c r="B17" s="4" t="s">
        <v>47</v>
      </c>
      <c r="C17" s="27"/>
      <c r="D17" s="12">
        <v>2845</v>
      </c>
      <c r="E17" s="28">
        <v>2874</v>
      </c>
      <c r="F17" s="7">
        <f>(E17-D17)*1</f>
        <v>29</v>
      </c>
      <c r="G17" s="27">
        <v>0</v>
      </c>
      <c r="H17" s="27">
        <v>0</v>
      </c>
      <c r="I17" s="27">
        <f t="shared" si="1"/>
        <v>29</v>
      </c>
      <c r="J17" s="7">
        <f t="shared" si="0"/>
        <v>0.004911724455645435</v>
      </c>
      <c r="K17" s="20"/>
      <c r="L17" s="19"/>
    </row>
    <row r="18" spans="1:10" ht="15">
      <c r="A18" s="42"/>
      <c r="B18" s="13" t="s">
        <v>14</v>
      </c>
      <c r="C18" s="13"/>
      <c r="D18" s="15"/>
      <c r="E18" s="13"/>
      <c r="F18" s="14">
        <f>SUM(F12:F17)</f>
        <v>2257</v>
      </c>
      <c r="G18" s="14">
        <f>SUM(G12:G17)</f>
        <v>0</v>
      </c>
      <c r="H18" s="14">
        <f>SUM(H12:H17)</f>
        <v>0</v>
      </c>
      <c r="I18" s="14">
        <f>SUM(I12:I17)</f>
        <v>2257</v>
      </c>
      <c r="J18" s="7">
        <f t="shared" si="0"/>
        <v>0.3822676584962671</v>
      </c>
    </row>
    <row r="19" spans="1:10" ht="15">
      <c r="A19" s="1"/>
      <c r="B19" s="1"/>
      <c r="C19" s="1"/>
      <c r="D19" s="1"/>
      <c r="E19" s="1" t="s">
        <v>20</v>
      </c>
      <c r="F19" s="18">
        <f aca="true" t="shared" si="2" ref="F19:I20">F12+F14+F16</f>
        <v>1268</v>
      </c>
      <c r="G19" s="18">
        <f t="shared" si="2"/>
        <v>0</v>
      </c>
      <c r="H19" s="18">
        <f t="shared" si="2"/>
        <v>0</v>
      </c>
      <c r="I19" s="18">
        <f t="shared" si="2"/>
        <v>1268</v>
      </c>
      <c r="J19" s="7">
        <f t="shared" si="0"/>
        <v>0.21476091757787624</v>
      </c>
    </row>
    <row r="20" spans="1:10" ht="15">
      <c r="A20" s="1"/>
      <c r="B20" s="1"/>
      <c r="C20" s="1"/>
      <c r="D20" s="1"/>
      <c r="E20" s="1" t="s">
        <v>21</v>
      </c>
      <c r="F20" s="16">
        <f t="shared" si="2"/>
        <v>989</v>
      </c>
      <c r="G20" s="16">
        <f t="shared" si="2"/>
        <v>0</v>
      </c>
      <c r="H20" s="16">
        <f t="shared" si="2"/>
        <v>0</v>
      </c>
      <c r="I20" s="16">
        <f t="shared" si="2"/>
        <v>989</v>
      </c>
      <c r="J20" s="7">
        <f t="shared" si="0"/>
        <v>0.16750674091839085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  <mergeCell ref="A12:A18"/>
    <mergeCell ref="I6:I7"/>
    <mergeCell ref="J6:J7"/>
    <mergeCell ref="J2:J3"/>
    <mergeCell ref="A5:J5"/>
    <mergeCell ref="A6:A7"/>
    <mergeCell ref="B6:B7"/>
    <mergeCell ref="C6:C7"/>
    <mergeCell ref="D6:E6"/>
    <mergeCell ref="F6:F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6" sqref="C6:C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24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3">
        <v>1</v>
      </c>
      <c r="B8" s="4" t="s">
        <v>9</v>
      </c>
      <c r="C8" s="7"/>
      <c r="D8" s="9"/>
      <c r="E8" s="9"/>
      <c r="F8" s="7">
        <f>458.2</f>
        <v>458.2</v>
      </c>
      <c r="G8" s="6">
        <f>316.2726+275.542+19.34</f>
        <v>611.1546</v>
      </c>
      <c r="H8" s="8">
        <v>0</v>
      </c>
      <c r="I8" s="8">
        <f aca="true" t="shared" si="0" ref="I8:I14">F8-G8-H8</f>
        <v>-152.95459999999997</v>
      </c>
      <c r="J8" s="7">
        <f aca="true" t="shared" si="1" ref="J8:J17">I8/5904.14</f>
        <v>-0.025906330134448024</v>
      </c>
    </row>
    <row r="9" spans="1:10" ht="15">
      <c r="A9" s="3">
        <v>2</v>
      </c>
      <c r="B9" s="4" t="s">
        <v>19</v>
      </c>
      <c r="C9" s="8" t="s">
        <v>25</v>
      </c>
      <c r="D9" s="9"/>
      <c r="E9" s="9"/>
      <c r="F9" s="6">
        <v>826</v>
      </c>
      <c r="G9" s="6">
        <f>397.0742+314.531+40.83</f>
        <v>752.4352</v>
      </c>
      <c r="H9" s="8">
        <v>0</v>
      </c>
      <c r="I9" s="8">
        <f t="shared" si="0"/>
        <v>73.56479999999999</v>
      </c>
      <c r="J9" s="7">
        <f t="shared" si="1"/>
        <v>0.012459867144071785</v>
      </c>
    </row>
    <row r="10" spans="1:10" ht="15">
      <c r="A10" s="3">
        <v>3</v>
      </c>
      <c r="B10" s="4" t="s">
        <v>10</v>
      </c>
      <c r="C10" s="8"/>
      <c r="D10" s="9"/>
      <c r="E10" s="9"/>
      <c r="F10" s="6">
        <f>F8+F9</f>
        <v>1284.2</v>
      </c>
      <c r="G10" s="6">
        <f>654.4968+565.303+44.12+44.3+55.37</f>
        <v>1363.5897999999997</v>
      </c>
      <c r="H10" s="8">
        <f>H8+H9</f>
        <v>0</v>
      </c>
      <c r="I10" s="8">
        <f t="shared" si="0"/>
        <v>-79.3897999999997</v>
      </c>
      <c r="J10" s="7">
        <f t="shared" si="1"/>
        <v>-0.013446462990376192</v>
      </c>
    </row>
    <row r="11" spans="1:10" ht="15">
      <c r="A11" s="35">
        <v>4</v>
      </c>
      <c r="B11" s="4" t="s">
        <v>15</v>
      </c>
      <c r="C11" s="8"/>
      <c r="D11" s="12">
        <v>12646</v>
      </c>
      <c r="E11" s="12">
        <v>12719</v>
      </c>
      <c r="F11" s="21">
        <f>(E11-D11)*10</f>
        <v>730</v>
      </c>
      <c r="G11" s="8">
        <v>0</v>
      </c>
      <c r="H11" s="8">
        <v>0</v>
      </c>
      <c r="I11" s="8">
        <f t="shared" si="0"/>
        <v>730</v>
      </c>
      <c r="J11" s="7">
        <f t="shared" si="1"/>
        <v>0.12364205455832686</v>
      </c>
    </row>
    <row r="12" spans="1:10" ht="15">
      <c r="A12" s="36"/>
      <c r="B12" s="4" t="s">
        <v>16</v>
      </c>
      <c r="C12" s="8"/>
      <c r="D12" s="12">
        <v>8839</v>
      </c>
      <c r="E12" s="12">
        <v>8880</v>
      </c>
      <c r="F12" s="21">
        <f>(E12-D12)*10</f>
        <v>410</v>
      </c>
      <c r="G12" s="8">
        <v>0</v>
      </c>
      <c r="H12" s="8">
        <v>0</v>
      </c>
      <c r="I12" s="8">
        <f t="shared" si="0"/>
        <v>410</v>
      </c>
      <c r="J12" s="7">
        <f t="shared" si="1"/>
        <v>0.06944279776563564</v>
      </c>
    </row>
    <row r="13" spans="1:10" ht="15">
      <c r="A13" s="36"/>
      <c r="B13" s="4" t="s">
        <v>17</v>
      </c>
      <c r="C13" s="8"/>
      <c r="D13" s="12">
        <v>13335</v>
      </c>
      <c r="E13" s="12">
        <v>13433</v>
      </c>
      <c r="F13" s="7">
        <f>(E13-D13)*10</f>
        <v>980</v>
      </c>
      <c r="G13" s="8">
        <v>0</v>
      </c>
      <c r="H13" s="8">
        <v>0</v>
      </c>
      <c r="I13" s="8">
        <f t="shared" si="0"/>
        <v>980</v>
      </c>
      <c r="J13" s="7">
        <f t="shared" si="1"/>
        <v>0.1659852239276169</v>
      </c>
    </row>
    <row r="14" spans="1:10" ht="15">
      <c r="A14" s="36"/>
      <c r="B14" s="4" t="s">
        <v>18</v>
      </c>
      <c r="C14" s="8"/>
      <c r="D14" s="12">
        <v>10290</v>
      </c>
      <c r="E14" s="12">
        <v>10396</v>
      </c>
      <c r="F14" s="7">
        <f>(E14-D14)*10</f>
        <v>1060</v>
      </c>
      <c r="G14" s="8">
        <v>0</v>
      </c>
      <c r="H14" s="8">
        <v>0</v>
      </c>
      <c r="I14" s="8">
        <f t="shared" si="0"/>
        <v>1060</v>
      </c>
      <c r="J14" s="7">
        <f t="shared" si="1"/>
        <v>0.1795350381257897</v>
      </c>
    </row>
    <row r="15" spans="1:10" ht="15">
      <c r="A15" s="13"/>
      <c r="B15" s="13" t="s">
        <v>14</v>
      </c>
      <c r="C15" s="13"/>
      <c r="D15" s="15"/>
      <c r="E15" s="13"/>
      <c r="F15" s="14">
        <f>SUM(F11:F14)</f>
        <v>3180</v>
      </c>
      <c r="G15" s="14">
        <f>SUM(G11:G14)</f>
        <v>0</v>
      </c>
      <c r="H15" s="14">
        <f>SUM(H11:H14)</f>
        <v>0</v>
      </c>
      <c r="I15" s="14">
        <f>SUM(I11:I14)</f>
        <v>3180</v>
      </c>
      <c r="J15" s="7">
        <f t="shared" si="1"/>
        <v>0.538605114377369</v>
      </c>
    </row>
    <row r="16" spans="1:12" ht="15">
      <c r="A16" s="1"/>
      <c r="B16" s="1"/>
      <c r="C16" s="1"/>
      <c r="D16" s="1"/>
      <c r="E16" s="1" t="s">
        <v>20</v>
      </c>
      <c r="F16" s="18">
        <f aca="true" t="shared" si="2" ref="F16:I17">F11+F13</f>
        <v>1710</v>
      </c>
      <c r="G16" s="18">
        <f t="shared" si="2"/>
        <v>0</v>
      </c>
      <c r="H16" s="18">
        <f t="shared" si="2"/>
        <v>0</v>
      </c>
      <c r="I16" s="18">
        <f t="shared" si="2"/>
        <v>1710</v>
      </c>
      <c r="J16" s="7">
        <f t="shared" si="1"/>
        <v>0.2896272784859437</v>
      </c>
      <c r="L16" s="19"/>
    </row>
    <row r="17" spans="1:12" ht="15">
      <c r="A17" s="1"/>
      <c r="B17" s="1"/>
      <c r="C17" s="1"/>
      <c r="D17" s="1"/>
      <c r="E17" s="1" t="s">
        <v>21</v>
      </c>
      <c r="F17" s="16">
        <f t="shared" si="2"/>
        <v>1470</v>
      </c>
      <c r="G17" s="16">
        <f t="shared" si="2"/>
        <v>0</v>
      </c>
      <c r="H17" s="16">
        <f t="shared" si="2"/>
        <v>0</v>
      </c>
      <c r="I17" s="16">
        <f t="shared" si="2"/>
        <v>1470</v>
      </c>
      <c r="J17" s="7">
        <f t="shared" si="1"/>
        <v>0.24897783589142533</v>
      </c>
      <c r="K17" s="20"/>
      <c r="L17" s="19"/>
    </row>
    <row r="18" spans="1:9" ht="15">
      <c r="A18" s="1"/>
      <c r="B18" s="1"/>
      <c r="C18" s="1"/>
      <c r="D18" s="1"/>
      <c r="E18" s="1"/>
      <c r="F18" s="16"/>
      <c r="G18" s="1"/>
      <c r="H18" s="2"/>
      <c r="I18" s="19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  <mergeCell ref="I6:I7"/>
    <mergeCell ref="J6:J7"/>
    <mergeCell ref="A11:A14"/>
    <mergeCell ref="J2:J3"/>
    <mergeCell ref="A5:J5"/>
    <mergeCell ref="A6:A7"/>
    <mergeCell ref="B6:B7"/>
    <mergeCell ref="C6:C7"/>
    <mergeCell ref="D6:E6"/>
    <mergeCell ref="F6:F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12" sqref="I12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26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3">
        <v>1</v>
      </c>
      <c r="B8" s="4" t="s">
        <v>9</v>
      </c>
      <c r="C8" s="7"/>
      <c r="D8" s="9"/>
      <c r="E8" s="9"/>
      <c r="F8" s="7">
        <v>510.9</v>
      </c>
      <c r="G8" s="6">
        <f>323.8743+263.678+14.75</f>
        <v>602.3023000000001</v>
      </c>
      <c r="H8" s="8">
        <v>0</v>
      </c>
      <c r="I8" s="8">
        <f aca="true" t="shared" si="0" ref="I8:I14">F8-G8-H8</f>
        <v>-91.40230000000008</v>
      </c>
      <c r="J8" s="7">
        <f aca="true" t="shared" si="1" ref="J8:J17">I8/5904.14</f>
        <v>-0.015481052278570643</v>
      </c>
    </row>
    <row r="9" spans="1:10" ht="15">
      <c r="A9" s="3">
        <v>2</v>
      </c>
      <c r="B9" s="4" t="s">
        <v>19</v>
      </c>
      <c r="C9" s="8" t="s">
        <v>27</v>
      </c>
      <c r="D9" s="9"/>
      <c r="E9" s="9"/>
      <c r="F9" s="6">
        <v>710</v>
      </c>
      <c r="G9" s="6">
        <f>386.8683+338.859+51.72</f>
        <v>777.4473</v>
      </c>
      <c r="H9" s="8">
        <v>0</v>
      </c>
      <c r="I9" s="8">
        <f t="shared" si="0"/>
        <v>-67.44730000000004</v>
      </c>
      <c r="J9" s="7">
        <f t="shared" si="1"/>
        <v>-0.011423729789605267</v>
      </c>
    </row>
    <row r="10" spans="1:10" ht="15">
      <c r="A10" s="3">
        <v>3</v>
      </c>
      <c r="B10" s="4" t="s">
        <v>10</v>
      </c>
      <c r="C10" s="8"/>
      <c r="D10" s="9"/>
      <c r="E10" s="9"/>
      <c r="F10" s="6">
        <f>F8+F9</f>
        <v>1220.9</v>
      </c>
      <c r="G10" s="6">
        <f>635.8527+558.797+57.99+67.05+60.06</f>
        <v>1379.7496999999998</v>
      </c>
      <c r="H10" s="8">
        <f>H8+H9</f>
        <v>0</v>
      </c>
      <c r="I10" s="8">
        <f t="shared" si="0"/>
        <v>-158.84969999999976</v>
      </c>
      <c r="J10" s="7">
        <f t="shared" si="1"/>
        <v>-0.026904799005443594</v>
      </c>
    </row>
    <row r="11" spans="1:10" ht="15">
      <c r="A11" s="35">
        <v>4</v>
      </c>
      <c r="B11" s="4" t="s">
        <v>15</v>
      </c>
      <c r="C11" s="8"/>
      <c r="D11" s="12">
        <v>12719</v>
      </c>
      <c r="E11" s="12">
        <v>12772</v>
      </c>
      <c r="F11" s="21">
        <f>(E11-D11)*10</f>
        <v>530</v>
      </c>
      <c r="G11" s="8">
        <v>0</v>
      </c>
      <c r="H11" s="8">
        <v>0</v>
      </c>
      <c r="I11" s="8">
        <f t="shared" si="0"/>
        <v>530</v>
      </c>
      <c r="J11" s="7">
        <f t="shared" si="1"/>
        <v>0.08976751906289485</v>
      </c>
    </row>
    <row r="12" spans="1:10" ht="15">
      <c r="A12" s="36"/>
      <c r="B12" s="4" t="s">
        <v>16</v>
      </c>
      <c r="C12" s="8"/>
      <c r="D12" s="12">
        <v>8880</v>
      </c>
      <c r="E12" s="12">
        <v>8913</v>
      </c>
      <c r="F12" s="21">
        <f>(E12-D12)*10</f>
        <v>330</v>
      </c>
      <c r="G12" s="8">
        <v>0</v>
      </c>
      <c r="H12" s="8">
        <v>0</v>
      </c>
      <c r="I12" s="8">
        <f t="shared" si="0"/>
        <v>330</v>
      </c>
      <c r="J12" s="7">
        <f t="shared" si="1"/>
        <v>0.05589298356746283</v>
      </c>
    </row>
    <row r="13" spans="1:10" ht="15">
      <c r="A13" s="36"/>
      <c r="B13" s="4" t="s">
        <v>17</v>
      </c>
      <c r="C13" s="8"/>
      <c r="D13" s="12">
        <v>13433</v>
      </c>
      <c r="E13" s="12">
        <v>13519</v>
      </c>
      <c r="F13" s="7">
        <f>(E13-D13)*10</f>
        <v>860</v>
      </c>
      <c r="G13" s="8">
        <v>0</v>
      </c>
      <c r="H13" s="8">
        <v>0</v>
      </c>
      <c r="I13" s="8">
        <f t="shared" si="0"/>
        <v>860</v>
      </c>
      <c r="J13" s="7">
        <f t="shared" si="1"/>
        <v>0.14566050263035768</v>
      </c>
    </row>
    <row r="14" spans="1:10" ht="15">
      <c r="A14" s="36"/>
      <c r="B14" s="4" t="s">
        <v>18</v>
      </c>
      <c r="C14" s="8"/>
      <c r="D14" s="12">
        <v>10396</v>
      </c>
      <c r="E14" s="12">
        <v>10487</v>
      </c>
      <c r="F14" s="7">
        <f>(E14-D14)*10</f>
        <v>910</v>
      </c>
      <c r="G14" s="8">
        <v>0</v>
      </c>
      <c r="H14" s="8">
        <v>0</v>
      </c>
      <c r="I14" s="8">
        <f t="shared" si="0"/>
        <v>910</v>
      </c>
      <c r="J14" s="7">
        <f t="shared" si="1"/>
        <v>0.15412913650421567</v>
      </c>
    </row>
    <row r="15" spans="1:10" ht="15">
      <c r="A15" s="13"/>
      <c r="B15" s="13" t="s">
        <v>14</v>
      </c>
      <c r="C15" s="13"/>
      <c r="D15" s="15"/>
      <c r="E15" s="13"/>
      <c r="F15" s="14">
        <f>SUM(F11:F14)</f>
        <v>2630</v>
      </c>
      <c r="G15" s="14">
        <f>SUM(G11:G14)</f>
        <v>0</v>
      </c>
      <c r="H15" s="14">
        <f>SUM(H11:H14)</f>
        <v>0</v>
      </c>
      <c r="I15" s="14">
        <f>SUM(I11:I14)</f>
        <v>2630</v>
      </c>
      <c r="J15" s="7">
        <f t="shared" si="1"/>
        <v>0.44545014176493103</v>
      </c>
    </row>
    <row r="16" spans="1:12" ht="15">
      <c r="A16" s="1"/>
      <c r="B16" s="1"/>
      <c r="C16" s="1"/>
      <c r="D16" s="1"/>
      <c r="E16" s="1" t="s">
        <v>20</v>
      </c>
      <c r="F16" s="18">
        <f aca="true" t="shared" si="2" ref="F16:I17">F11+F13</f>
        <v>1390</v>
      </c>
      <c r="G16" s="18">
        <f t="shared" si="2"/>
        <v>0</v>
      </c>
      <c r="H16" s="18">
        <f t="shared" si="2"/>
        <v>0</v>
      </c>
      <c r="I16" s="18">
        <f t="shared" si="2"/>
        <v>1390</v>
      </c>
      <c r="J16" s="7">
        <f t="shared" si="1"/>
        <v>0.23542802169325253</v>
      </c>
      <c r="L16" s="19"/>
    </row>
    <row r="17" spans="1:12" ht="15">
      <c r="A17" s="1"/>
      <c r="B17" s="1"/>
      <c r="C17" s="1"/>
      <c r="D17" s="1"/>
      <c r="E17" s="1" t="s">
        <v>21</v>
      </c>
      <c r="F17" s="16">
        <f t="shared" si="2"/>
        <v>1240</v>
      </c>
      <c r="G17" s="16">
        <f t="shared" si="2"/>
        <v>0</v>
      </c>
      <c r="H17" s="16">
        <f t="shared" si="2"/>
        <v>0</v>
      </c>
      <c r="I17" s="16">
        <f t="shared" si="2"/>
        <v>1240</v>
      </c>
      <c r="J17" s="7">
        <f t="shared" si="1"/>
        <v>0.2100221200716785</v>
      </c>
      <c r="K17" s="20"/>
      <c r="L17" s="19"/>
    </row>
    <row r="18" spans="1:9" ht="15">
      <c r="A18" s="1"/>
      <c r="B18" s="1"/>
      <c r="C18" s="1"/>
      <c r="D18" s="1"/>
      <c r="E18" s="1"/>
      <c r="F18" s="16"/>
      <c r="G18" s="1"/>
      <c r="H18" s="2"/>
      <c r="I18" s="19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I6:I7"/>
    <mergeCell ref="J6:J7"/>
    <mergeCell ref="A11:A14"/>
    <mergeCell ref="J2:J3"/>
    <mergeCell ref="A5:J5"/>
    <mergeCell ref="A6:A7"/>
    <mergeCell ref="B6:B7"/>
    <mergeCell ref="C6:C7"/>
    <mergeCell ref="D6:E6"/>
    <mergeCell ref="F6:F7"/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28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22">
        <v>1</v>
      </c>
      <c r="B8" s="23" t="s">
        <v>29</v>
      </c>
      <c r="C8" s="22"/>
      <c r="D8" s="24"/>
      <c r="E8" s="25"/>
      <c r="F8" s="22">
        <f>40.31</f>
        <v>40.31</v>
      </c>
      <c r="G8" s="26">
        <f>654.54*0.1917/4.01</f>
        <v>31.290602992518707</v>
      </c>
      <c r="H8" s="26">
        <v>0</v>
      </c>
      <c r="I8" s="8">
        <f>F8-G8-H8</f>
        <v>9.019397007481295</v>
      </c>
      <c r="J8" s="7">
        <f aca="true" t="shared" si="0" ref="J8:J18">I8/5904.14</f>
        <v>0.0015276394203865922</v>
      </c>
    </row>
    <row r="9" spans="1:10" ht="15">
      <c r="A9" s="3">
        <v>2</v>
      </c>
      <c r="B9" s="4" t="s">
        <v>9</v>
      </c>
      <c r="C9" s="7"/>
      <c r="D9" s="9"/>
      <c r="E9" s="9"/>
      <c r="F9" s="7">
        <f>558.7</f>
        <v>558.7</v>
      </c>
      <c r="G9" s="6">
        <f>328.82+305.79+19.93</f>
        <v>654.54</v>
      </c>
      <c r="H9" s="8">
        <v>0</v>
      </c>
      <c r="I9" s="8">
        <f aca="true" t="shared" si="1" ref="I9:I15">F9-G9-H9</f>
        <v>-95.83999999999992</v>
      </c>
      <c r="J9" s="7">
        <f t="shared" si="0"/>
        <v>-0.01623267740941101</v>
      </c>
    </row>
    <row r="10" spans="1:10" ht="15">
      <c r="A10" s="3">
        <v>3</v>
      </c>
      <c r="B10" s="4" t="s">
        <v>19</v>
      </c>
      <c r="C10" s="8" t="s">
        <v>30</v>
      </c>
      <c r="D10" s="9"/>
      <c r="E10" s="9"/>
      <c r="F10" s="6">
        <f>239+510</f>
        <v>749</v>
      </c>
      <c r="G10" s="6">
        <f>402.55+345.12+57.85</f>
        <v>805.5200000000001</v>
      </c>
      <c r="H10" s="8">
        <v>0</v>
      </c>
      <c r="I10" s="8">
        <f t="shared" si="1"/>
        <v>-56.520000000000095</v>
      </c>
      <c r="J10" s="7">
        <f t="shared" si="0"/>
        <v>-0.009572943731009104</v>
      </c>
    </row>
    <row r="11" spans="1:10" ht="15">
      <c r="A11" s="3">
        <v>4</v>
      </c>
      <c r="B11" s="4" t="s">
        <v>10</v>
      </c>
      <c r="C11" s="8"/>
      <c r="D11" s="9"/>
      <c r="E11" s="9"/>
      <c r="F11" s="6">
        <f>F9+F10</f>
        <v>1307.7</v>
      </c>
      <c r="G11" s="6">
        <f>664.5+618.21+67.11+45.23+65.01</f>
        <v>1460.06</v>
      </c>
      <c r="H11" s="8">
        <f>H9+H10</f>
        <v>0</v>
      </c>
      <c r="I11" s="8">
        <f t="shared" si="1"/>
        <v>-152.3599999999999</v>
      </c>
      <c r="J11" s="7">
        <f t="shared" si="0"/>
        <v>-0.025805621140420093</v>
      </c>
    </row>
    <row r="12" spans="1:10" ht="15">
      <c r="A12" s="35">
        <v>5</v>
      </c>
      <c r="B12" s="4" t="s">
        <v>15</v>
      </c>
      <c r="C12" s="8"/>
      <c r="D12" s="12">
        <v>12772</v>
      </c>
      <c r="E12" s="12">
        <v>12841</v>
      </c>
      <c r="F12" s="21">
        <f>(E12-D12)*10</f>
        <v>690</v>
      </c>
      <c r="G12" s="8">
        <v>0</v>
      </c>
      <c r="H12" s="8">
        <v>0</v>
      </c>
      <c r="I12" s="8">
        <f t="shared" si="1"/>
        <v>690</v>
      </c>
      <c r="J12" s="7">
        <f t="shared" si="0"/>
        <v>0.11686714745924046</v>
      </c>
    </row>
    <row r="13" spans="1:10" ht="15">
      <c r="A13" s="36"/>
      <c r="B13" s="4" t="s">
        <v>16</v>
      </c>
      <c r="C13" s="8"/>
      <c r="D13" s="12">
        <v>8913</v>
      </c>
      <c r="E13" s="12">
        <v>8950</v>
      </c>
      <c r="F13" s="21">
        <f>(E13-D13)*10</f>
        <v>370</v>
      </c>
      <c r="G13" s="8">
        <v>0</v>
      </c>
      <c r="H13" s="8">
        <v>0</v>
      </c>
      <c r="I13" s="8">
        <f t="shared" si="1"/>
        <v>370</v>
      </c>
      <c r="J13" s="7">
        <f t="shared" si="0"/>
        <v>0.06266789066654924</v>
      </c>
    </row>
    <row r="14" spans="1:10" ht="15">
      <c r="A14" s="36"/>
      <c r="B14" s="4" t="s">
        <v>17</v>
      </c>
      <c r="C14" s="8"/>
      <c r="D14" s="12">
        <v>13519</v>
      </c>
      <c r="E14" s="12">
        <v>13634</v>
      </c>
      <c r="F14" s="7">
        <f>(E14-D14)*10</f>
        <v>1150</v>
      </c>
      <c r="G14" s="8">
        <v>0</v>
      </c>
      <c r="H14" s="8">
        <v>0</v>
      </c>
      <c r="I14" s="8">
        <f t="shared" si="1"/>
        <v>1150</v>
      </c>
      <c r="J14" s="7">
        <f t="shared" si="0"/>
        <v>0.1947785790987341</v>
      </c>
    </row>
    <row r="15" spans="1:10" ht="15">
      <c r="A15" s="36"/>
      <c r="B15" s="4" t="s">
        <v>18</v>
      </c>
      <c r="C15" s="8"/>
      <c r="D15" s="12">
        <v>10487</v>
      </c>
      <c r="E15" s="12">
        <v>10605</v>
      </c>
      <c r="F15" s="7">
        <f>(E15-D15)*10</f>
        <v>1180</v>
      </c>
      <c r="G15" s="8">
        <v>0</v>
      </c>
      <c r="H15" s="8">
        <v>0</v>
      </c>
      <c r="I15" s="8">
        <f t="shared" si="1"/>
        <v>1180</v>
      </c>
      <c r="J15" s="7">
        <f t="shared" si="0"/>
        <v>0.1998597594230489</v>
      </c>
    </row>
    <row r="16" spans="1:12" ht="15">
      <c r="A16" s="42"/>
      <c r="B16" s="13" t="s">
        <v>14</v>
      </c>
      <c r="C16" s="13"/>
      <c r="D16" s="15"/>
      <c r="E16" s="13"/>
      <c r="F16" s="14">
        <f>SUM(F12:F15)</f>
        <v>3390</v>
      </c>
      <c r="G16" s="14">
        <f>SUM(G12:G15)</f>
        <v>0</v>
      </c>
      <c r="H16" s="14">
        <f>SUM(H12:H15)</f>
        <v>0</v>
      </c>
      <c r="I16" s="14">
        <f>SUM(I12:I15)</f>
        <v>3390</v>
      </c>
      <c r="J16" s="7">
        <f t="shared" si="0"/>
        <v>0.5741733766475727</v>
      </c>
      <c r="L16" s="19"/>
    </row>
    <row r="17" spans="1:12" ht="15">
      <c r="A17" s="1"/>
      <c r="B17" s="1"/>
      <c r="C17" s="1"/>
      <c r="D17" s="1"/>
      <c r="E17" s="1" t="s">
        <v>20</v>
      </c>
      <c r="F17" s="18">
        <f aca="true" t="shared" si="2" ref="F17:I18">F12+F14</f>
        <v>1840</v>
      </c>
      <c r="G17" s="18">
        <f t="shared" si="2"/>
        <v>0</v>
      </c>
      <c r="H17" s="18">
        <f t="shared" si="2"/>
        <v>0</v>
      </c>
      <c r="I17" s="18">
        <f t="shared" si="2"/>
        <v>1840</v>
      </c>
      <c r="J17" s="7">
        <f t="shared" si="0"/>
        <v>0.31164572655797457</v>
      </c>
      <c r="K17" s="20"/>
      <c r="L17" s="19"/>
    </row>
    <row r="18" spans="1:10" ht="15">
      <c r="A18" s="1"/>
      <c r="B18" s="1"/>
      <c r="C18" s="1"/>
      <c r="D18" s="1"/>
      <c r="E18" s="1" t="s">
        <v>21</v>
      </c>
      <c r="F18" s="16">
        <f t="shared" si="2"/>
        <v>1550</v>
      </c>
      <c r="G18" s="16">
        <f t="shared" si="2"/>
        <v>0</v>
      </c>
      <c r="H18" s="16">
        <f t="shared" si="2"/>
        <v>0</v>
      </c>
      <c r="I18" s="16">
        <f t="shared" si="2"/>
        <v>1550</v>
      </c>
      <c r="J18" s="7">
        <f t="shared" si="0"/>
        <v>0.2625276500895981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  <mergeCell ref="A12:A16"/>
    <mergeCell ref="I6:I7"/>
    <mergeCell ref="J6:J7"/>
    <mergeCell ref="J2:J3"/>
    <mergeCell ref="A5:J5"/>
    <mergeCell ref="A6:A7"/>
    <mergeCell ref="B6:B7"/>
    <mergeCell ref="C6:C7"/>
    <mergeCell ref="D6:E6"/>
    <mergeCell ref="F6:F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31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22">
        <v>1</v>
      </c>
      <c r="B8" s="23" t="s">
        <v>29</v>
      </c>
      <c r="C8" s="22"/>
      <c r="D8" s="24"/>
      <c r="E8" s="25"/>
      <c r="F8" s="22">
        <f>33.43</f>
        <v>33.43</v>
      </c>
      <c r="G8" s="26">
        <f>623.96*0.0478</f>
        <v>29.825288000000004</v>
      </c>
      <c r="H8" s="26">
        <v>0</v>
      </c>
      <c r="I8" s="8">
        <f aca="true" t="shared" si="0" ref="I8:I15">F8-G8-H8</f>
        <v>3.6047119999999957</v>
      </c>
      <c r="J8" s="7">
        <f aca="true" t="shared" si="1" ref="J8:J18">I8/5904.14</f>
        <v>0.0006105397229740479</v>
      </c>
    </row>
    <row r="9" spans="1:10" ht="15">
      <c r="A9" s="3">
        <v>2</v>
      </c>
      <c r="B9" s="4" t="s">
        <v>9</v>
      </c>
      <c r="C9" s="7"/>
      <c r="D9" s="9"/>
      <c r="E9" s="9"/>
      <c r="F9" s="7">
        <f>588.4</f>
        <v>588.4</v>
      </c>
      <c r="G9" s="6">
        <f>324.5427+284.34+15.08</f>
        <v>623.9627</v>
      </c>
      <c r="H9" s="8">
        <v>0</v>
      </c>
      <c r="I9" s="8">
        <f t="shared" si="0"/>
        <v>-35.56270000000006</v>
      </c>
      <c r="J9" s="7">
        <f t="shared" si="1"/>
        <v>-0.006023349717317012</v>
      </c>
    </row>
    <row r="10" spans="1:10" ht="15">
      <c r="A10" s="3">
        <v>3</v>
      </c>
      <c r="B10" s="4" t="s">
        <v>19</v>
      </c>
      <c r="C10" s="8" t="s">
        <v>32</v>
      </c>
      <c r="D10" s="9"/>
      <c r="E10" s="9"/>
      <c r="F10" s="6">
        <v>696</v>
      </c>
      <c r="G10" s="6">
        <f>387.6767+332.76+27.25</f>
        <v>747.6867</v>
      </c>
      <c r="H10" s="8">
        <v>0</v>
      </c>
      <c r="I10" s="8">
        <f t="shared" si="0"/>
        <v>-51.68669999999997</v>
      </c>
      <c r="J10" s="7">
        <f t="shared" si="1"/>
        <v>-0.008754314768958726</v>
      </c>
    </row>
    <row r="11" spans="1:10" ht="15">
      <c r="A11" s="3">
        <v>4</v>
      </c>
      <c r="B11" s="4" t="s">
        <v>10</v>
      </c>
      <c r="C11" s="8"/>
      <c r="D11" s="9"/>
      <c r="E11" s="9"/>
      <c r="F11" s="6">
        <f>F9+F10</f>
        <v>1284.4</v>
      </c>
      <c r="G11" s="6">
        <f>637.3293+577.77+31.01+63.64+61.9</f>
        <v>1371.6493</v>
      </c>
      <c r="H11" s="8">
        <f>H9+H10</f>
        <v>0</v>
      </c>
      <c r="I11" s="8">
        <f t="shared" si="0"/>
        <v>-87.24929999999995</v>
      </c>
      <c r="J11" s="7">
        <f t="shared" si="1"/>
        <v>-0.014777647549007974</v>
      </c>
    </row>
    <row r="12" spans="1:10" ht="15">
      <c r="A12" s="35">
        <v>5</v>
      </c>
      <c r="B12" s="4" t="s">
        <v>15</v>
      </c>
      <c r="C12" s="8"/>
      <c r="D12" s="12">
        <v>12841</v>
      </c>
      <c r="E12" s="12">
        <v>12898</v>
      </c>
      <c r="F12" s="21">
        <f>(E12-D12)*10</f>
        <v>570</v>
      </c>
      <c r="G12" s="8">
        <v>0</v>
      </c>
      <c r="H12" s="8">
        <v>0</v>
      </c>
      <c r="I12" s="8">
        <f t="shared" si="0"/>
        <v>570</v>
      </c>
      <c r="J12" s="7">
        <f t="shared" si="1"/>
        <v>0.09654242616198125</v>
      </c>
    </row>
    <row r="13" spans="1:10" ht="15">
      <c r="A13" s="36"/>
      <c r="B13" s="4" t="s">
        <v>16</v>
      </c>
      <c r="C13" s="8"/>
      <c r="D13" s="12">
        <v>8950</v>
      </c>
      <c r="E13" s="12">
        <v>8987</v>
      </c>
      <c r="F13" s="21">
        <f>(E13-D13)*10</f>
        <v>370</v>
      </c>
      <c r="G13" s="8">
        <v>0</v>
      </c>
      <c r="H13" s="8">
        <v>0</v>
      </c>
      <c r="I13" s="8">
        <f t="shared" si="0"/>
        <v>370</v>
      </c>
      <c r="J13" s="7">
        <f t="shared" si="1"/>
        <v>0.06266789066654924</v>
      </c>
    </row>
    <row r="14" spans="1:10" ht="15">
      <c r="A14" s="36"/>
      <c r="B14" s="4" t="s">
        <v>17</v>
      </c>
      <c r="C14" s="8"/>
      <c r="D14" s="12">
        <v>13634</v>
      </c>
      <c r="E14" s="12">
        <v>13737</v>
      </c>
      <c r="F14" s="7">
        <f>(E14-D14)*10</f>
        <v>1030</v>
      </c>
      <c r="G14" s="8">
        <v>0</v>
      </c>
      <c r="H14" s="8">
        <v>0</v>
      </c>
      <c r="I14" s="8">
        <f t="shared" si="0"/>
        <v>1030</v>
      </c>
      <c r="J14" s="7">
        <f t="shared" si="1"/>
        <v>0.17445385780147488</v>
      </c>
    </row>
    <row r="15" spans="1:10" ht="15.75" customHeight="1">
      <c r="A15" s="36"/>
      <c r="B15" s="4" t="s">
        <v>18</v>
      </c>
      <c r="C15" s="8"/>
      <c r="D15" s="12">
        <v>10605</v>
      </c>
      <c r="E15" s="12">
        <v>10732</v>
      </c>
      <c r="F15" s="7">
        <f>(E15-D15)*10</f>
        <v>1270</v>
      </c>
      <c r="G15" s="8">
        <v>0</v>
      </c>
      <c r="H15" s="8">
        <v>0</v>
      </c>
      <c r="I15" s="8">
        <f t="shared" si="0"/>
        <v>1270</v>
      </c>
      <c r="J15" s="7">
        <f t="shared" si="1"/>
        <v>0.21510330039599332</v>
      </c>
    </row>
    <row r="16" spans="1:12" ht="15">
      <c r="A16" s="42"/>
      <c r="B16" s="13" t="s">
        <v>14</v>
      </c>
      <c r="C16" s="13"/>
      <c r="D16" s="15"/>
      <c r="E16" s="13"/>
      <c r="F16" s="14">
        <f>SUM(F12:F15)</f>
        <v>3240</v>
      </c>
      <c r="G16" s="14">
        <f>SUM(G12:G15)</f>
        <v>0</v>
      </c>
      <c r="H16" s="14">
        <f>SUM(H12:H15)</f>
        <v>0</v>
      </c>
      <c r="I16" s="14">
        <f>SUM(I12:I15)</f>
        <v>3240</v>
      </c>
      <c r="J16" s="7">
        <f t="shared" si="1"/>
        <v>0.5487674750259987</v>
      </c>
      <c r="L16" s="19"/>
    </row>
    <row r="17" spans="1:12" ht="15">
      <c r="A17" s="1"/>
      <c r="B17" s="1"/>
      <c r="C17" s="1"/>
      <c r="D17" s="1"/>
      <c r="E17" s="1" t="s">
        <v>20</v>
      </c>
      <c r="F17" s="18">
        <f aca="true" t="shared" si="2" ref="F17:I18">F12+F14</f>
        <v>1600</v>
      </c>
      <c r="G17" s="18">
        <f t="shared" si="2"/>
        <v>0</v>
      </c>
      <c r="H17" s="18">
        <f t="shared" si="2"/>
        <v>0</v>
      </c>
      <c r="I17" s="18">
        <f t="shared" si="2"/>
        <v>1600</v>
      </c>
      <c r="J17" s="7">
        <f t="shared" si="1"/>
        <v>0.27099628396345615</v>
      </c>
      <c r="K17" s="20"/>
      <c r="L17" s="19"/>
    </row>
    <row r="18" spans="1:10" ht="15">
      <c r="A18" s="1"/>
      <c r="B18" s="1"/>
      <c r="C18" s="1"/>
      <c r="D18" s="1"/>
      <c r="E18" s="1" t="s">
        <v>21</v>
      </c>
      <c r="F18" s="16">
        <f t="shared" si="2"/>
        <v>1640</v>
      </c>
      <c r="G18" s="16">
        <f t="shared" si="2"/>
        <v>0</v>
      </c>
      <c r="H18" s="16">
        <f t="shared" si="2"/>
        <v>0</v>
      </c>
      <c r="I18" s="16">
        <f t="shared" si="2"/>
        <v>1640</v>
      </c>
      <c r="J18" s="7">
        <f t="shared" si="1"/>
        <v>0.27777119106254256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A12:A16"/>
    <mergeCell ref="I6:I7"/>
    <mergeCell ref="J6:J7"/>
    <mergeCell ref="J2:J3"/>
    <mergeCell ref="A5:J5"/>
    <mergeCell ref="A6:A7"/>
    <mergeCell ref="B6:B7"/>
    <mergeCell ref="C6:C7"/>
    <mergeCell ref="D6:E6"/>
    <mergeCell ref="F6:F7"/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1" sqref="F11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33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22">
        <v>1</v>
      </c>
      <c r="B8" s="23" t="s">
        <v>29</v>
      </c>
      <c r="C8" s="22"/>
      <c r="D8" s="24"/>
      <c r="E8" s="25"/>
      <c r="F8" s="22">
        <f>18.16</f>
        <v>18.16</v>
      </c>
      <c r="G8" s="26">
        <f>G9*0.0478</f>
        <v>31.826673999999997</v>
      </c>
      <c r="H8" s="26">
        <v>0</v>
      </c>
      <c r="I8" s="8">
        <f aca="true" t="shared" si="0" ref="I8:I15">F8-G8-H8</f>
        <v>-13.666673999999997</v>
      </c>
      <c r="J8" s="7">
        <f aca="true" t="shared" si="1" ref="J8:J18">I8/5904.14</f>
        <v>-0.002314761167587489</v>
      </c>
    </row>
    <row r="9" spans="1:10" ht="15">
      <c r="A9" s="3">
        <v>2</v>
      </c>
      <c r="B9" s="4" t="s">
        <v>9</v>
      </c>
      <c r="C9" s="7"/>
      <c r="D9" s="9"/>
      <c r="E9" s="9"/>
      <c r="F9" s="7">
        <f>530.7</f>
        <v>530.7</v>
      </c>
      <c r="G9" s="6">
        <f>324.81+295.28+45.74</f>
        <v>665.8299999999999</v>
      </c>
      <c r="H9" s="8">
        <v>0</v>
      </c>
      <c r="I9" s="8">
        <f t="shared" si="0"/>
        <v>-135.12999999999988</v>
      </c>
      <c r="J9" s="7">
        <f t="shared" si="1"/>
        <v>-0.022887329907488624</v>
      </c>
    </row>
    <row r="10" spans="1:10" ht="15">
      <c r="A10" s="3">
        <v>3</v>
      </c>
      <c r="B10" s="4" t="s">
        <v>19</v>
      </c>
      <c r="C10" s="8" t="s">
        <v>34</v>
      </c>
      <c r="D10" s="9"/>
      <c r="E10" s="9"/>
      <c r="F10" s="6">
        <f>47965-47213</f>
        <v>752</v>
      </c>
      <c r="G10" s="6">
        <f>388+339.9+28.19</f>
        <v>756.09</v>
      </c>
      <c r="H10" s="8">
        <v>0</v>
      </c>
      <c r="I10" s="8">
        <f t="shared" si="0"/>
        <v>-4.090000000000032</v>
      </c>
      <c r="J10" s="7">
        <f t="shared" si="1"/>
        <v>-0.0006927342508815901</v>
      </c>
    </row>
    <row r="11" spans="1:10" ht="15">
      <c r="A11" s="3">
        <v>4</v>
      </c>
      <c r="B11" s="4" t="s">
        <v>10</v>
      </c>
      <c r="C11" s="8"/>
      <c r="D11" s="9"/>
      <c r="E11" s="9"/>
      <c r="F11" s="6">
        <f>F9+F10</f>
        <v>1282.7</v>
      </c>
      <c r="G11" s="6">
        <f>637.92+618.85+36.3+69.19+59.66</f>
        <v>1421.92</v>
      </c>
      <c r="H11" s="8">
        <f>H9+H10</f>
        <v>0</v>
      </c>
      <c r="I11" s="8">
        <v>0</v>
      </c>
      <c r="J11" s="7">
        <f t="shared" si="1"/>
        <v>0</v>
      </c>
    </row>
    <row r="12" spans="1:10" ht="15">
      <c r="A12" s="35">
        <v>5</v>
      </c>
      <c r="B12" s="4" t="s">
        <v>15</v>
      </c>
      <c r="C12" s="8"/>
      <c r="D12" s="12">
        <v>12898</v>
      </c>
      <c r="E12" s="12">
        <v>12962</v>
      </c>
      <c r="F12" s="21">
        <f>(E12-D12)*10</f>
        <v>640</v>
      </c>
      <c r="G12" s="8">
        <v>0</v>
      </c>
      <c r="H12" s="8">
        <v>0</v>
      </c>
      <c r="I12" s="8">
        <f t="shared" si="0"/>
        <v>640</v>
      </c>
      <c r="J12" s="7">
        <f t="shared" si="1"/>
        <v>0.10839851358538245</v>
      </c>
    </row>
    <row r="13" spans="1:10" ht="15">
      <c r="A13" s="36"/>
      <c r="B13" s="4" t="s">
        <v>16</v>
      </c>
      <c r="C13" s="8"/>
      <c r="D13" s="12">
        <v>8987</v>
      </c>
      <c r="E13" s="12">
        <v>9018</v>
      </c>
      <c r="F13" s="21">
        <f>(E13-D13)*10</f>
        <v>310</v>
      </c>
      <c r="G13" s="8">
        <v>0</v>
      </c>
      <c r="H13" s="8">
        <v>0</v>
      </c>
      <c r="I13" s="8">
        <f t="shared" si="0"/>
        <v>310</v>
      </c>
      <c r="J13" s="7">
        <f t="shared" si="1"/>
        <v>0.052505530017919626</v>
      </c>
    </row>
    <row r="14" spans="1:10" ht="15">
      <c r="A14" s="36"/>
      <c r="B14" s="4" t="s">
        <v>17</v>
      </c>
      <c r="C14" s="8"/>
      <c r="D14" s="12">
        <v>13737</v>
      </c>
      <c r="E14" s="12">
        <v>13851</v>
      </c>
      <c r="F14" s="7">
        <f>(E14-D14)*10</f>
        <v>1140</v>
      </c>
      <c r="G14" s="8">
        <v>0</v>
      </c>
      <c r="H14" s="8">
        <v>0</v>
      </c>
      <c r="I14" s="8">
        <f t="shared" si="0"/>
        <v>1140</v>
      </c>
      <c r="J14" s="7">
        <f t="shared" si="1"/>
        <v>0.1930848523239625</v>
      </c>
    </row>
    <row r="15" spans="1:10" ht="15.75" customHeight="1">
      <c r="A15" s="36"/>
      <c r="B15" s="4" t="s">
        <v>18</v>
      </c>
      <c r="C15" s="8"/>
      <c r="D15" s="12">
        <v>10732</v>
      </c>
      <c r="E15" s="12">
        <v>10849</v>
      </c>
      <c r="F15" s="7">
        <f>(E15-D15)*10</f>
        <v>1170</v>
      </c>
      <c r="G15" s="8">
        <v>0</v>
      </c>
      <c r="H15" s="8">
        <v>0</v>
      </c>
      <c r="I15" s="8">
        <f t="shared" si="0"/>
        <v>1170</v>
      </c>
      <c r="J15" s="7">
        <f t="shared" si="1"/>
        <v>0.1981660326482773</v>
      </c>
    </row>
    <row r="16" spans="1:12" ht="15">
      <c r="A16" s="42"/>
      <c r="B16" s="13" t="s">
        <v>14</v>
      </c>
      <c r="C16" s="13"/>
      <c r="D16" s="15"/>
      <c r="E16" s="13"/>
      <c r="F16" s="14">
        <f>SUM(F12:F15)</f>
        <v>3260</v>
      </c>
      <c r="G16" s="14">
        <f>SUM(G12:G15)</f>
        <v>0</v>
      </c>
      <c r="H16" s="14">
        <f>SUM(H12:H15)</f>
        <v>0</v>
      </c>
      <c r="I16" s="14">
        <f>SUM(I12:I15)</f>
        <v>3260</v>
      </c>
      <c r="J16" s="7">
        <f t="shared" si="1"/>
        <v>0.5521549285755418</v>
      </c>
      <c r="L16" s="19"/>
    </row>
    <row r="17" spans="1:12" ht="15">
      <c r="A17" s="1"/>
      <c r="B17" s="1"/>
      <c r="C17" s="1"/>
      <c r="D17" s="1"/>
      <c r="E17" s="1" t="s">
        <v>20</v>
      </c>
      <c r="F17" s="18">
        <f aca="true" t="shared" si="2" ref="F17:I18">F12+F14</f>
        <v>1780</v>
      </c>
      <c r="G17" s="18">
        <f t="shared" si="2"/>
        <v>0</v>
      </c>
      <c r="H17" s="18">
        <f t="shared" si="2"/>
        <v>0</v>
      </c>
      <c r="I17" s="18">
        <f t="shared" si="2"/>
        <v>1780</v>
      </c>
      <c r="J17" s="7">
        <f t="shared" si="1"/>
        <v>0.30148336590934494</v>
      </c>
      <c r="K17" s="20"/>
      <c r="L17" s="19"/>
    </row>
    <row r="18" spans="1:10" ht="15">
      <c r="A18" s="1"/>
      <c r="B18" s="1"/>
      <c r="C18" s="1"/>
      <c r="D18" s="1"/>
      <c r="E18" s="1" t="s">
        <v>21</v>
      </c>
      <c r="F18" s="16">
        <f t="shared" si="2"/>
        <v>1480</v>
      </c>
      <c r="G18" s="16">
        <f t="shared" si="2"/>
        <v>0</v>
      </c>
      <c r="H18" s="16">
        <f t="shared" si="2"/>
        <v>0</v>
      </c>
      <c r="I18" s="16">
        <f t="shared" si="2"/>
        <v>1480</v>
      </c>
      <c r="J18" s="7">
        <f t="shared" si="1"/>
        <v>0.25067156266619695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  <mergeCell ref="A12:A16"/>
    <mergeCell ref="I6:I7"/>
    <mergeCell ref="J6:J7"/>
    <mergeCell ref="J2:J3"/>
    <mergeCell ref="A5:J5"/>
    <mergeCell ref="A6:A7"/>
    <mergeCell ref="B6:B7"/>
    <mergeCell ref="C6:C7"/>
    <mergeCell ref="D6:E6"/>
    <mergeCell ref="F6:F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6" sqref="C6:C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35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22">
        <v>1</v>
      </c>
      <c r="B8" s="23" t="s">
        <v>29</v>
      </c>
      <c r="C8" s="22"/>
      <c r="D8" s="24"/>
      <c r="E8" s="25"/>
      <c r="F8" s="22">
        <f>19.37</f>
        <v>19.37</v>
      </c>
      <c r="G8" s="26">
        <f>G9*0.0478</f>
        <v>27.830331100000002</v>
      </c>
      <c r="H8" s="26">
        <v>0</v>
      </c>
      <c r="I8" s="8">
        <f>F8-G8-H8</f>
        <v>-8.460331100000001</v>
      </c>
      <c r="J8" s="7">
        <f aca="true" t="shared" si="0" ref="J8:J18">I8/5904.14</f>
        <v>-0.0014329489307502872</v>
      </c>
    </row>
    <row r="9" spans="1:10" ht="15">
      <c r="A9" s="3">
        <v>2</v>
      </c>
      <c r="B9" s="4" t="s">
        <v>9</v>
      </c>
      <c r="C9" s="7"/>
      <c r="D9" s="9"/>
      <c r="E9" s="9"/>
      <c r="F9" s="7">
        <f>499.1</f>
        <v>499.1</v>
      </c>
      <c r="G9" s="6">
        <f>319.8945+239.25+23.08</f>
        <v>582.2245</v>
      </c>
      <c r="H9" s="8">
        <v>0</v>
      </c>
      <c r="I9" s="8">
        <f>F9-G9-H9</f>
        <v>-83.12450000000001</v>
      </c>
      <c r="J9" s="7">
        <f t="shared" si="0"/>
        <v>-0.014079019128950196</v>
      </c>
    </row>
    <row r="10" spans="1:10" ht="15">
      <c r="A10" s="3">
        <v>3</v>
      </c>
      <c r="B10" s="4" t="s">
        <v>19</v>
      </c>
      <c r="C10" s="8" t="s">
        <v>36</v>
      </c>
      <c r="D10" s="9"/>
      <c r="E10" s="9"/>
      <c r="F10" s="6">
        <f>128.333+641.667</f>
        <v>770</v>
      </c>
      <c r="G10" s="6">
        <f>388+305.1+42.92</f>
        <v>736.02</v>
      </c>
      <c r="H10" s="8">
        <v>0</v>
      </c>
      <c r="I10" s="8">
        <v>18.8342</v>
      </c>
      <c r="J10" s="7">
        <f t="shared" si="0"/>
        <v>0.0031899988821403285</v>
      </c>
    </row>
    <row r="11" spans="1:10" ht="15">
      <c r="A11" s="3">
        <v>4</v>
      </c>
      <c r="B11" s="4" t="s">
        <v>10</v>
      </c>
      <c r="C11" s="8"/>
      <c r="D11" s="9"/>
      <c r="E11" s="9"/>
      <c r="F11" s="6">
        <f>F9+F10</f>
        <v>1269.1</v>
      </c>
      <c r="G11" s="6">
        <f>637.92+515.07+39.32+68.1745+5.35+52.41</f>
        <v>1318.2445</v>
      </c>
      <c r="H11" s="8">
        <f>H9+H10</f>
        <v>0</v>
      </c>
      <c r="I11" s="8">
        <v>0</v>
      </c>
      <c r="J11" s="7">
        <f t="shared" si="0"/>
        <v>0</v>
      </c>
    </row>
    <row r="12" spans="1:10" ht="15">
      <c r="A12" s="35">
        <v>5</v>
      </c>
      <c r="B12" s="4" t="s">
        <v>15</v>
      </c>
      <c r="C12" s="8"/>
      <c r="D12" s="12">
        <v>12962</v>
      </c>
      <c r="E12" s="12">
        <v>13031</v>
      </c>
      <c r="F12" s="21">
        <f>(E12-D12)*10</f>
        <v>690</v>
      </c>
      <c r="G12" s="8">
        <v>0</v>
      </c>
      <c r="H12" s="8">
        <v>0</v>
      </c>
      <c r="I12" s="8">
        <f>F12-G12-H12</f>
        <v>690</v>
      </c>
      <c r="J12" s="7">
        <f t="shared" si="0"/>
        <v>0.11686714745924046</v>
      </c>
    </row>
    <row r="13" spans="1:10" ht="15">
      <c r="A13" s="36"/>
      <c r="B13" s="4" t="s">
        <v>16</v>
      </c>
      <c r="C13" s="8"/>
      <c r="D13" s="12">
        <v>9018</v>
      </c>
      <c r="E13" s="12">
        <v>9060</v>
      </c>
      <c r="F13" s="21">
        <f>(E13-D13)*10</f>
        <v>420</v>
      </c>
      <c r="G13" s="8">
        <v>0</v>
      </c>
      <c r="H13" s="8">
        <v>0</v>
      </c>
      <c r="I13" s="8">
        <f>F13-G13-H13</f>
        <v>420</v>
      </c>
      <c r="J13" s="7">
        <f t="shared" si="0"/>
        <v>0.07113652454040724</v>
      </c>
    </row>
    <row r="14" spans="1:10" ht="15">
      <c r="A14" s="36"/>
      <c r="B14" s="4" t="s">
        <v>17</v>
      </c>
      <c r="C14" s="8"/>
      <c r="D14" s="12">
        <v>13851</v>
      </c>
      <c r="E14" s="12">
        <v>13955</v>
      </c>
      <c r="F14" s="7">
        <f>(E14-D14)*10</f>
        <v>1040</v>
      </c>
      <c r="G14" s="8">
        <v>0</v>
      </c>
      <c r="H14" s="8">
        <v>0</v>
      </c>
      <c r="I14" s="8">
        <f>F14-G14-H14</f>
        <v>1040</v>
      </c>
      <c r="J14" s="7">
        <f t="shared" si="0"/>
        <v>0.1761475845762465</v>
      </c>
    </row>
    <row r="15" spans="1:10" ht="15.75" customHeight="1">
      <c r="A15" s="36"/>
      <c r="B15" s="4" t="s">
        <v>18</v>
      </c>
      <c r="C15" s="8"/>
      <c r="D15" s="12">
        <v>10849</v>
      </c>
      <c r="E15" s="12">
        <v>10970</v>
      </c>
      <c r="F15" s="7">
        <f>(E15-D15)*10</f>
        <v>1210</v>
      </c>
      <c r="G15" s="8">
        <v>0</v>
      </c>
      <c r="H15" s="8">
        <v>0</v>
      </c>
      <c r="I15" s="8">
        <f>F15-G15-H15</f>
        <v>1210</v>
      </c>
      <c r="J15" s="7">
        <f t="shared" si="0"/>
        <v>0.20494093974736372</v>
      </c>
    </row>
    <row r="16" spans="1:12" ht="15">
      <c r="A16" s="42"/>
      <c r="B16" s="13" t="s">
        <v>14</v>
      </c>
      <c r="C16" s="13"/>
      <c r="D16" s="15"/>
      <c r="E16" s="13"/>
      <c r="F16" s="14">
        <f>SUM(F12:F15)</f>
        <v>3360</v>
      </c>
      <c r="G16" s="14">
        <f>SUM(G12:G15)</f>
        <v>0</v>
      </c>
      <c r="H16" s="14">
        <f>SUM(H12:H15)</f>
        <v>0</v>
      </c>
      <c r="I16" s="14">
        <f>SUM(I12:I15)</f>
        <v>3360</v>
      </c>
      <c r="J16" s="7">
        <f t="shared" si="0"/>
        <v>0.5690921963232579</v>
      </c>
      <c r="L16" s="19"/>
    </row>
    <row r="17" spans="1:12" ht="15">
      <c r="A17" s="1"/>
      <c r="B17" s="1"/>
      <c r="C17" s="1"/>
      <c r="D17" s="1"/>
      <c r="E17" s="1" t="s">
        <v>20</v>
      </c>
      <c r="F17" s="18">
        <f aca="true" t="shared" si="1" ref="F17:I18">F12+F14</f>
        <v>1730</v>
      </c>
      <c r="G17" s="18">
        <f t="shared" si="1"/>
        <v>0</v>
      </c>
      <c r="H17" s="18">
        <f t="shared" si="1"/>
        <v>0</v>
      </c>
      <c r="I17" s="18">
        <f t="shared" si="1"/>
        <v>1730</v>
      </c>
      <c r="J17" s="7">
        <f t="shared" si="0"/>
        <v>0.29301473203548695</v>
      </c>
      <c r="K17" s="20"/>
      <c r="L17" s="19"/>
    </row>
    <row r="18" spans="1:10" ht="15">
      <c r="A18" s="1"/>
      <c r="B18" s="1"/>
      <c r="C18" s="1"/>
      <c r="D18" s="1"/>
      <c r="E18" s="1" t="s">
        <v>21</v>
      </c>
      <c r="F18" s="16">
        <f t="shared" si="1"/>
        <v>1630</v>
      </c>
      <c r="G18" s="16">
        <f t="shared" si="1"/>
        <v>0</v>
      </c>
      <c r="H18" s="16">
        <f t="shared" si="1"/>
        <v>0</v>
      </c>
      <c r="I18" s="16">
        <f t="shared" si="1"/>
        <v>1630</v>
      </c>
      <c r="J18" s="7">
        <f t="shared" si="0"/>
        <v>0.2760774642877709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A12:A16"/>
    <mergeCell ref="I6:I7"/>
    <mergeCell ref="J6:J7"/>
    <mergeCell ref="J2:J3"/>
    <mergeCell ref="A5:J5"/>
    <mergeCell ref="A6:A7"/>
    <mergeCell ref="B6:B7"/>
    <mergeCell ref="C6:C7"/>
    <mergeCell ref="D6:E6"/>
    <mergeCell ref="F6:F7"/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37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22">
        <v>1</v>
      </c>
      <c r="B8" s="23" t="s">
        <v>29</v>
      </c>
      <c r="C8" s="22"/>
      <c r="D8" s="24"/>
      <c r="E8" s="25"/>
      <c r="F8" s="22">
        <f>19.75</f>
        <v>19.75</v>
      </c>
      <c r="G8" s="26">
        <f>G9*0.0478</f>
        <v>27.368353659999997</v>
      </c>
      <c r="H8" s="26">
        <v>0</v>
      </c>
      <c r="I8" s="8">
        <f>F8-G8-H8</f>
        <v>-7.618353659999997</v>
      </c>
      <c r="J8" s="7">
        <f aca="true" t="shared" si="0" ref="J8:J18">I8/5904.14</f>
        <v>-0.0012903409573621215</v>
      </c>
    </row>
    <row r="9" spans="1:10" ht="15">
      <c r="A9" s="3">
        <v>2</v>
      </c>
      <c r="B9" s="4" t="s">
        <v>9</v>
      </c>
      <c r="C9" s="7"/>
      <c r="D9" s="9"/>
      <c r="E9" s="9"/>
      <c r="F9" s="7">
        <f>490.4</f>
        <v>490.4</v>
      </c>
      <c r="G9" s="6">
        <f>323.3397+223.92+25.3</f>
        <v>572.5596999999999</v>
      </c>
      <c r="H9" s="8">
        <v>0</v>
      </c>
      <c r="I9" s="8">
        <f>F9-G9-H9</f>
        <v>-82.15969999999993</v>
      </c>
      <c r="J9" s="7">
        <f t="shared" si="0"/>
        <v>-0.013915608369720217</v>
      </c>
    </row>
    <row r="10" spans="1:10" ht="15">
      <c r="A10" s="3">
        <v>3</v>
      </c>
      <c r="B10" s="4" t="s">
        <v>19</v>
      </c>
      <c r="C10" s="8" t="s">
        <v>38</v>
      </c>
      <c r="D10" s="9"/>
      <c r="E10" s="9"/>
      <c r="F10" s="6">
        <v>825</v>
      </c>
      <c r="G10" s="6">
        <f>386.2217+331.19+11.85</f>
        <v>729.2617</v>
      </c>
      <c r="H10" s="8">
        <v>0</v>
      </c>
      <c r="I10" s="8">
        <v>24.2151</v>
      </c>
      <c r="J10" s="7">
        <f t="shared" si="0"/>
        <v>0.004101376322377179</v>
      </c>
    </row>
    <row r="11" spans="1:10" ht="15">
      <c r="A11" s="3">
        <v>4</v>
      </c>
      <c r="B11" s="4" t="s">
        <v>10</v>
      </c>
      <c r="C11" s="8"/>
      <c r="D11" s="9"/>
      <c r="E11" s="9"/>
      <c r="F11" s="6">
        <f>F9+F10</f>
        <v>1315.4</v>
      </c>
      <c r="G11" s="6">
        <f>634.6713+520.35+19.31+71.14+2.12+54.23</f>
        <v>1301.8212999999998</v>
      </c>
      <c r="H11" s="8">
        <f>H9+H10</f>
        <v>0</v>
      </c>
      <c r="I11" s="8">
        <v>0</v>
      </c>
      <c r="J11" s="7">
        <f t="shared" si="0"/>
        <v>0</v>
      </c>
    </row>
    <row r="12" spans="1:10" ht="15">
      <c r="A12" s="35">
        <v>5</v>
      </c>
      <c r="B12" s="4" t="s">
        <v>15</v>
      </c>
      <c r="C12" s="8"/>
      <c r="D12" s="12">
        <v>13031</v>
      </c>
      <c r="E12" s="12">
        <v>13100</v>
      </c>
      <c r="F12" s="21">
        <f>(E12-D12)*10</f>
        <v>690</v>
      </c>
      <c r="G12" s="8">
        <v>0</v>
      </c>
      <c r="H12" s="8">
        <v>0</v>
      </c>
      <c r="I12" s="8">
        <f>F12-G12-H12</f>
        <v>690</v>
      </c>
      <c r="J12" s="7">
        <f t="shared" si="0"/>
        <v>0.11686714745924046</v>
      </c>
    </row>
    <row r="13" spans="1:10" ht="15">
      <c r="A13" s="36"/>
      <c r="B13" s="4" t="s">
        <v>16</v>
      </c>
      <c r="C13" s="8"/>
      <c r="D13" s="12">
        <v>9060</v>
      </c>
      <c r="E13" s="12">
        <v>9100</v>
      </c>
      <c r="F13" s="21">
        <f>(E13-D13)*10</f>
        <v>400</v>
      </c>
      <c r="G13" s="8">
        <v>0</v>
      </c>
      <c r="H13" s="8">
        <v>0</v>
      </c>
      <c r="I13" s="8">
        <f>F13-G13-H13</f>
        <v>400</v>
      </c>
      <c r="J13" s="7">
        <f t="shared" si="0"/>
        <v>0.06774907099086404</v>
      </c>
    </row>
    <row r="14" spans="1:10" ht="15">
      <c r="A14" s="36"/>
      <c r="B14" s="4" t="s">
        <v>17</v>
      </c>
      <c r="C14" s="8"/>
      <c r="D14" s="12">
        <v>13955</v>
      </c>
      <c r="E14" s="12">
        <v>14060</v>
      </c>
      <c r="F14" s="7">
        <f>(E14-D14)*10</f>
        <v>1050</v>
      </c>
      <c r="G14" s="8">
        <v>0</v>
      </c>
      <c r="H14" s="8">
        <v>0</v>
      </c>
      <c r="I14" s="8">
        <f>F14-G14-H14</f>
        <v>1050</v>
      </c>
      <c r="J14" s="7">
        <f t="shared" si="0"/>
        <v>0.17784131135101808</v>
      </c>
    </row>
    <row r="15" spans="1:10" ht="15.75" customHeight="1">
      <c r="A15" s="36"/>
      <c r="B15" s="4" t="s">
        <v>18</v>
      </c>
      <c r="C15" s="8"/>
      <c r="D15" s="12">
        <v>10970</v>
      </c>
      <c r="E15" s="12">
        <v>11090</v>
      </c>
      <c r="F15" s="7">
        <f>(E15-D15)*10</f>
        <v>1200</v>
      </c>
      <c r="G15" s="8">
        <v>0</v>
      </c>
      <c r="H15" s="8">
        <v>0</v>
      </c>
      <c r="I15" s="8">
        <f>F15-G15-H15</f>
        <v>1200</v>
      </c>
      <c r="J15" s="7">
        <f t="shared" si="0"/>
        <v>0.2032472129725921</v>
      </c>
    </row>
    <row r="16" spans="1:12" ht="15">
      <c r="A16" s="42"/>
      <c r="B16" s="13" t="s">
        <v>14</v>
      </c>
      <c r="C16" s="13"/>
      <c r="D16" s="15"/>
      <c r="E16" s="13"/>
      <c r="F16" s="14">
        <f>SUM(F12:F15)</f>
        <v>3340</v>
      </c>
      <c r="G16" s="14">
        <f>SUM(G12:G15)</f>
        <v>0</v>
      </c>
      <c r="H16" s="14">
        <f>SUM(H12:H15)</f>
        <v>0</v>
      </c>
      <c r="I16" s="14">
        <f>SUM(I12:I15)</f>
        <v>3340</v>
      </c>
      <c r="J16" s="7">
        <f t="shared" si="0"/>
        <v>0.5657047427737146</v>
      </c>
      <c r="L16" s="19"/>
    </row>
    <row r="17" spans="1:12" ht="15">
      <c r="A17" s="1"/>
      <c r="B17" s="1"/>
      <c r="C17" s="1"/>
      <c r="D17" s="1"/>
      <c r="E17" s="1" t="s">
        <v>20</v>
      </c>
      <c r="F17" s="18">
        <f aca="true" t="shared" si="1" ref="F17:I18">F12+F14</f>
        <v>1740</v>
      </c>
      <c r="G17" s="18">
        <f t="shared" si="1"/>
        <v>0</v>
      </c>
      <c r="H17" s="18">
        <f t="shared" si="1"/>
        <v>0</v>
      </c>
      <c r="I17" s="18">
        <f t="shared" si="1"/>
        <v>1740</v>
      </c>
      <c r="J17" s="7">
        <f t="shared" si="0"/>
        <v>0.29470845881025853</v>
      </c>
      <c r="K17" s="20"/>
      <c r="L17" s="19"/>
    </row>
    <row r="18" spans="1:10" ht="15">
      <c r="A18" s="1"/>
      <c r="B18" s="1"/>
      <c r="C18" s="1"/>
      <c r="D18" s="1"/>
      <c r="E18" s="1" t="s">
        <v>21</v>
      </c>
      <c r="F18" s="16">
        <f t="shared" si="1"/>
        <v>1600</v>
      </c>
      <c r="G18" s="16">
        <f t="shared" si="1"/>
        <v>0</v>
      </c>
      <c r="H18" s="16">
        <f t="shared" si="1"/>
        <v>0</v>
      </c>
      <c r="I18" s="16">
        <f t="shared" si="1"/>
        <v>1600</v>
      </c>
      <c r="J18" s="7">
        <f t="shared" si="0"/>
        <v>0.27099628396345615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  <mergeCell ref="A12:A16"/>
    <mergeCell ref="I6:I7"/>
    <mergeCell ref="J6:J7"/>
    <mergeCell ref="J2:J3"/>
    <mergeCell ref="A5:J5"/>
    <mergeCell ref="A6:A7"/>
    <mergeCell ref="B6:B7"/>
    <mergeCell ref="C6:C7"/>
    <mergeCell ref="D6:E6"/>
    <mergeCell ref="F6:F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2" sqref="A12:A16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7"/>
      <c r="E3" s="17"/>
      <c r="F3" s="29"/>
      <c r="G3" s="29"/>
      <c r="H3" s="29"/>
      <c r="I3" s="29"/>
      <c r="J3" s="32"/>
    </row>
    <row r="4" ht="15.75">
      <c r="C4" s="10" t="s">
        <v>39</v>
      </c>
    </row>
    <row r="5" spans="1:10" ht="1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78.75" customHeight="1">
      <c r="A6" s="30" t="s">
        <v>0</v>
      </c>
      <c r="B6" s="33" t="s">
        <v>1</v>
      </c>
      <c r="C6" s="30" t="s">
        <v>2</v>
      </c>
      <c r="D6" s="40" t="s">
        <v>7</v>
      </c>
      <c r="E6" s="41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1" t="s">
        <v>12</v>
      </c>
      <c r="E7" s="5" t="s">
        <v>13</v>
      </c>
      <c r="F7" s="31"/>
      <c r="G7" s="31"/>
      <c r="H7" s="31"/>
      <c r="I7" s="31"/>
      <c r="J7" s="34"/>
    </row>
    <row r="8" spans="1:10" ht="15">
      <c r="A8" s="22">
        <v>1</v>
      </c>
      <c r="B8" s="23" t="s">
        <v>29</v>
      </c>
      <c r="C8" s="22"/>
      <c r="D8" s="24"/>
      <c r="E8" s="25"/>
      <c r="F8" s="22">
        <f>32.82</f>
        <v>32.82</v>
      </c>
      <c r="G8" s="26">
        <f>G9*0.0478</f>
        <v>24.4332329</v>
      </c>
      <c r="H8" s="26">
        <v>0</v>
      </c>
      <c r="I8" s="8">
        <f>24.2154*0.0478</f>
        <v>1.15749612</v>
      </c>
      <c r="J8" s="7">
        <f>I8/5904.24</f>
        <v>0.00019604489654892078</v>
      </c>
    </row>
    <row r="9" spans="1:10" ht="15">
      <c r="A9" s="3">
        <v>2</v>
      </c>
      <c r="B9" s="4" t="s">
        <v>9</v>
      </c>
      <c r="C9" s="7"/>
      <c r="D9" s="9"/>
      <c r="E9" s="9"/>
      <c r="F9" s="7">
        <f>464</f>
        <v>464</v>
      </c>
      <c r="G9" s="6">
        <f>313.6855+163.23+34.24</f>
        <v>511.15549999999996</v>
      </c>
      <c r="H9" s="8">
        <v>0</v>
      </c>
      <c r="I9" s="8">
        <f>F9-G9-H9</f>
        <v>-47.15549999999996</v>
      </c>
      <c r="J9" s="7">
        <f aca="true" t="shared" si="0" ref="J9:J18">I9/5904.24</f>
        <v>-0.007986718019592692</v>
      </c>
    </row>
    <row r="10" spans="1:10" ht="15">
      <c r="A10" s="3">
        <v>3</v>
      </c>
      <c r="B10" s="4" t="s">
        <v>19</v>
      </c>
      <c r="C10" s="8" t="s">
        <v>40</v>
      </c>
      <c r="D10" s="9"/>
      <c r="E10" s="9"/>
      <c r="F10" s="6">
        <f>761</f>
        <v>761</v>
      </c>
      <c r="G10" s="6">
        <f>369.6952+273.95+39.43</f>
        <v>683.0751999999999</v>
      </c>
      <c r="H10" s="8">
        <v>0</v>
      </c>
      <c r="I10" s="8">
        <v>24.2154</v>
      </c>
      <c r="J10" s="7">
        <f t="shared" si="0"/>
        <v>0.004101357668387464</v>
      </c>
    </row>
    <row r="11" spans="1:10" ht="15">
      <c r="A11" s="3">
        <v>4</v>
      </c>
      <c r="B11" s="4" t="s">
        <v>10</v>
      </c>
      <c r="C11" s="8"/>
      <c r="D11" s="9"/>
      <c r="E11" s="9"/>
      <c r="F11" s="6">
        <f>F9+F10</f>
        <v>1225</v>
      </c>
      <c r="G11" s="6">
        <f>604.4806+408.19+39.52+79.87+2.86+59.31</f>
        <v>1194.2305999999996</v>
      </c>
      <c r="H11" s="8">
        <f>H9+H10</f>
        <v>0</v>
      </c>
      <c r="I11" s="8">
        <v>0</v>
      </c>
      <c r="J11" s="7">
        <f t="shared" si="0"/>
        <v>0</v>
      </c>
    </row>
    <row r="12" spans="1:10" ht="15">
      <c r="A12" s="35">
        <v>5</v>
      </c>
      <c r="B12" s="4" t="s">
        <v>15</v>
      </c>
      <c r="C12" s="8"/>
      <c r="D12" s="12">
        <v>13100</v>
      </c>
      <c r="E12" s="12">
        <v>13159</v>
      </c>
      <c r="F12" s="21">
        <f>(E12-D12)*10</f>
        <v>590</v>
      </c>
      <c r="G12" s="8">
        <v>0</v>
      </c>
      <c r="H12" s="8">
        <v>0</v>
      </c>
      <c r="I12" s="8">
        <f>F12-G12-H12</f>
        <v>590</v>
      </c>
      <c r="J12" s="7">
        <f t="shared" si="0"/>
        <v>0.0999281872010623</v>
      </c>
    </row>
    <row r="13" spans="1:10" ht="15">
      <c r="A13" s="36"/>
      <c r="B13" s="4" t="s">
        <v>16</v>
      </c>
      <c r="C13" s="8"/>
      <c r="D13" s="12">
        <v>9100</v>
      </c>
      <c r="E13" s="12">
        <v>9128</v>
      </c>
      <c r="F13" s="21">
        <f>(E13-D13)*10</f>
        <v>280</v>
      </c>
      <c r="G13" s="8">
        <v>0</v>
      </c>
      <c r="H13" s="8">
        <v>0</v>
      </c>
      <c r="I13" s="8">
        <f>F13-G13-H13</f>
        <v>280</v>
      </c>
      <c r="J13" s="7">
        <f t="shared" si="0"/>
        <v>0.04742354646830075</v>
      </c>
    </row>
    <row r="14" spans="1:10" ht="15">
      <c r="A14" s="36"/>
      <c r="B14" s="4" t="s">
        <v>17</v>
      </c>
      <c r="C14" s="8"/>
      <c r="D14" s="12">
        <v>14060</v>
      </c>
      <c r="E14" s="12">
        <v>14166</v>
      </c>
      <c r="F14" s="7">
        <f>(E14-D14)*10</f>
        <v>1060</v>
      </c>
      <c r="G14" s="8">
        <v>0</v>
      </c>
      <c r="H14" s="8">
        <v>0</v>
      </c>
      <c r="I14" s="8">
        <f>F14-G14-H14</f>
        <v>1060</v>
      </c>
      <c r="J14" s="7">
        <f t="shared" si="0"/>
        <v>0.1795319973442814</v>
      </c>
    </row>
    <row r="15" spans="1:10" ht="15.75" customHeight="1">
      <c r="A15" s="36"/>
      <c r="B15" s="4" t="s">
        <v>18</v>
      </c>
      <c r="C15" s="8"/>
      <c r="D15" s="12">
        <v>11090</v>
      </c>
      <c r="E15" s="12">
        <v>11170</v>
      </c>
      <c r="F15" s="7">
        <f>(E15-D15)*10</f>
        <v>800</v>
      </c>
      <c r="G15" s="8">
        <v>0</v>
      </c>
      <c r="H15" s="8">
        <v>0</v>
      </c>
      <c r="I15" s="8">
        <f>F15-G15-H15</f>
        <v>800</v>
      </c>
      <c r="J15" s="7">
        <f t="shared" si="0"/>
        <v>0.13549584705228784</v>
      </c>
    </row>
    <row r="16" spans="1:12" ht="15">
      <c r="A16" s="42"/>
      <c r="B16" s="13" t="s">
        <v>14</v>
      </c>
      <c r="C16" s="13"/>
      <c r="D16" s="15"/>
      <c r="E16" s="13"/>
      <c r="F16" s="14">
        <f>SUM(F12:F15)</f>
        <v>2730</v>
      </c>
      <c r="G16" s="14">
        <f>SUM(G12:G15)</f>
        <v>0</v>
      </c>
      <c r="H16" s="14">
        <f>SUM(H12:H15)</f>
        <v>0</v>
      </c>
      <c r="I16" s="14">
        <f>SUM(I12:I15)</f>
        <v>2730</v>
      </c>
      <c r="J16" s="7">
        <f t="shared" si="0"/>
        <v>0.4623795780659323</v>
      </c>
      <c r="L16" s="19"/>
    </row>
    <row r="17" spans="1:12" ht="15">
      <c r="A17" s="1"/>
      <c r="B17" s="1"/>
      <c r="C17" s="1"/>
      <c r="D17" s="1"/>
      <c r="E17" s="1" t="s">
        <v>20</v>
      </c>
      <c r="F17" s="18">
        <f aca="true" t="shared" si="1" ref="F17:I18">F12+F14</f>
        <v>1650</v>
      </c>
      <c r="G17" s="18">
        <f t="shared" si="1"/>
        <v>0</v>
      </c>
      <c r="H17" s="18">
        <f t="shared" si="1"/>
        <v>0</v>
      </c>
      <c r="I17" s="18">
        <f t="shared" si="1"/>
        <v>1650</v>
      </c>
      <c r="J17" s="7">
        <f t="shared" si="0"/>
        <v>0.2794601845453437</v>
      </c>
      <c r="K17" s="20"/>
      <c r="L17" s="19"/>
    </row>
    <row r="18" spans="1:10" ht="15">
      <c r="A18" s="1"/>
      <c r="B18" s="1"/>
      <c r="C18" s="1"/>
      <c r="D18" s="1"/>
      <c r="E18" s="1" t="s">
        <v>21</v>
      </c>
      <c r="F18" s="16">
        <f t="shared" si="1"/>
        <v>1080</v>
      </c>
      <c r="G18" s="16">
        <f t="shared" si="1"/>
        <v>0</v>
      </c>
      <c r="H18" s="16">
        <f t="shared" si="1"/>
        <v>0</v>
      </c>
      <c r="I18" s="16">
        <f t="shared" si="1"/>
        <v>1080</v>
      </c>
      <c r="J18" s="7">
        <f t="shared" si="0"/>
        <v>0.1829193935205886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A12:A16"/>
    <mergeCell ref="I6:I7"/>
    <mergeCell ref="J6:J7"/>
    <mergeCell ref="J2:J3"/>
    <mergeCell ref="A5:J5"/>
    <mergeCell ref="A6:A7"/>
    <mergeCell ref="B6:B7"/>
    <mergeCell ref="C6:C7"/>
    <mergeCell ref="D6:E6"/>
    <mergeCell ref="F6:F7"/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2012-11-26T03:21:59Z</cp:lastPrinted>
  <dcterms:created xsi:type="dcterms:W3CDTF">2006-09-16T00:00:00Z</dcterms:created>
  <dcterms:modified xsi:type="dcterms:W3CDTF">2014-02-06T04:27:24Z</dcterms:modified>
  <cp:category/>
  <cp:version/>
  <cp:contentType/>
  <cp:contentStatus/>
</cp:coreProperties>
</file>