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1.4 (январь)" sheetId="1" r:id="rId1"/>
    <sheet name="61.4 (февраль)" sheetId="2" r:id="rId2"/>
    <sheet name="61.4 (март)" sheetId="3" r:id="rId3"/>
    <sheet name="61.4 (апрель)" sheetId="4" r:id="rId4"/>
    <sheet name="61.4 (май)" sheetId="5" r:id="rId5"/>
    <sheet name="61.4 (июнь)" sheetId="6" r:id="rId6"/>
    <sheet name="61.4 (июль)" sheetId="7" r:id="rId7"/>
    <sheet name="61.4 (август)" sheetId="8" r:id="rId8"/>
    <sheet name="61.4 (сентябрь)" sheetId="9" r:id="rId9"/>
    <sheet name="61.4 (октябрь)" sheetId="10" r:id="rId10"/>
    <sheet name="61.4 (ноябрь)" sheetId="11" r:id="rId11"/>
    <sheet name="61.4 (декабрь)" sheetId="12" r:id="rId12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 нежилым 
ИП Петросян=109 квт/ч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 нежилым 
ИП Петросян=76 квт/ч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 нежилым 
ИП Петросян=90 квт/ч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 нежилым 
ИП Петросян=48 квт/ч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 нежилым 
ИП Петросян=80 квт/ч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 нежилым 
П Петросян=42 квт/ч
</t>
        </r>
      </text>
    </comment>
  </commentList>
</comments>
</file>

<file path=xl/sharedStrings.xml><?xml version="1.0" encoding="utf-8"?>
<sst xmlns="http://schemas.openxmlformats.org/spreadsheetml/2006/main" count="216" uniqueCount="40">
  <si>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</si>
  <si>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</si>
  <si>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</si>
  <si>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</si>
  <si>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</si>
  <si>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</si>
  <si>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</si>
  <si>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Викулова 61-4</t>
  </si>
  <si>
    <t>ГВС (тонн)</t>
  </si>
  <si>
    <t>водоотведение(тонн)</t>
  </si>
  <si>
    <t>объем потребления</t>
  </si>
  <si>
    <t>итого по эл.эн.</t>
  </si>
  <si>
    <t>ХВС (тонн)</t>
  </si>
  <si>
    <t>нагрев воды (Г.кал.)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</si>
  <si>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</si>
  <si>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</si>
  <si>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январь в феврале 2016г.</t>
  </si>
  <si>
    <t>17530,/18369</t>
  </si>
  <si>
    <t>Объем коммунальных услуг по показаниям общедомовых приборов учета (ОДН) за февраль в марте 2016г.</t>
  </si>
  <si>
    <t>18369,/19132</t>
  </si>
  <si>
    <t>Объем коммунальных услуг по показаниям общедомовых приборов учета (ОДН) за март в апреле 2016г.</t>
  </si>
  <si>
    <t>19132,/20041</t>
  </si>
  <si>
    <t>Объем коммунальных услуг по показаниям общедомовых приборов учета (ОДН) за апрель в мае 2016г.</t>
  </si>
  <si>
    <t>20041,/20864</t>
  </si>
  <si>
    <t>Объем коммунальных услуг по показаниям общедомовых приборов учета (ОДН) за май в июне 2016г.</t>
  </si>
  <si>
    <t>20864,/21661</t>
  </si>
  <si>
    <t>Объем коммунальных услуг по показаниям общедомовых приборов учета (ОДН) за июнь в июле 2016г.</t>
  </si>
  <si>
    <t>21661,/22515</t>
  </si>
  <si>
    <t>Объем коммунальных услуг по показаниям общедомовых приборов учета (ОДН) за июль в августе 2016г.</t>
  </si>
  <si>
    <t>22515,/23239</t>
  </si>
  <si>
    <t>Объем коммунальных услуг по показаниям общедомовых приборов учета (ОДН) за август в сентябре 2016г.</t>
  </si>
  <si>
    <t>23239,/24090</t>
  </si>
  <si>
    <t>Объем коммунальных услуг по показаниям общедомовых приборов учета (ОДН) за сентябрь в октябре 2016г.</t>
  </si>
  <si>
    <t>24090,/24871</t>
  </si>
  <si>
    <t>24871 /25583</t>
  </si>
  <si>
    <t>Объем коммунальных услуг по показаниям общедомовых приборов учета (ОДН) за октябрь в ноябре 2016г.</t>
  </si>
  <si>
    <t>Объем коммунальных услуг по показаниям общедомовых приборов учета (ОДН) за ноябрь в декабре 2016г.</t>
  </si>
  <si>
    <t>25583,/26353</t>
  </si>
  <si>
    <t>Объем коммунальных услуг по показаниям общедомовых приборов учета (ОДН) за декабрь в январе 2017г.</t>
  </si>
  <si>
    <t>26353,/27141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</si>
</sst>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0.0000"/>
    <numFmt numFmtId="176" formatCode="#,##0.0000"/>
    <numFmt numFmtId="177" formatCode="#,##0.000"/>
  </numFmts>
  <fonts count="2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7" sqref="G7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16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3">
        <v>1</v>
      </c>
      <c r="B7" s="14" t="s">
        <v>13</v>
      </c>
      <c r="C7" s="13"/>
      <c r="D7" s="15">
        <f>64.52</f>
        <v>64.52</v>
      </c>
      <c r="E7" s="20">
        <f>E8*0.0478+0.0026</f>
        <v>33.354572000000005</v>
      </c>
      <c r="F7" s="15">
        <f>0.22+0.54+0.29+0.2</f>
        <v>1.25</v>
      </c>
      <c r="G7" s="18">
        <f>G8*0.0478+0.0003</f>
        <v>1.20265164</v>
      </c>
      <c r="H7" s="5">
        <f aca="true" t="shared" si="0" ref="H7:H13">G7/8131.4</f>
        <v>0.00014790216198932535</v>
      </c>
      <c r="J7" s="11"/>
    </row>
    <row r="8" spans="1:10" ht="15">
      <c r="A8" s="3">
        <v>2</v>
      </c>
      <c r="B8" s="4" t="s">
        <v>8</v>
      </c>
      <c r="C8" s="5"/>
      <c r="D8" s="5">
        <f>780.5</f>
        <v>780.5</v>
      </c>
      <c r="E8" s="19">
        <f>555.39-158.4+290.27+10.48</f>
        <v>697.74</v>
      </c>
      <c r="F8" s="18">
        <f>2.68+6.57+3.58+2.39</f>
        <v>15.22</v>
      </c>
      <c r="G8" s="18">
        <f>25.155-0.0012</f>
        <v>25.1538</v>
      </c>
      <c r="H8" s="5">
        <f t="shared" si="0"/>
        <v>0.0030934156479818977</v>
      </c>
      <c r="J8" s="11"/>
    </row>
    <row r="9" spans="1:10" ht="15">
      <c r="A9" s="3">
        <v>3</v>
      </c>
      <c r="B9" s="4" t="s">
        <v>12</v>
      </c>
      <c r="C9" s="16" t="s">
        <v>17</v>
      </c>
      <c r="D9" s="6">
        <f>18369-17530</f>
        <v>839</v>
      </c>
      <c r="E9" s="19">
        <f>658.63-188.18+420.84+31.58</f>
        <v>922.87</v>
      </c>
      <c r="F9" s="18">
        <v>0</v>
      </c>
      <c r="G9" s="18">
        <f>D9-E9-F9+4.6375</f>
        <v>-79.2325</v>
      </c>
      <c r="H9" s="5">
        <f t="shared" si="0"/>
        <v>-0.009744017020439285</v>
      </c>
      <c r="J9" s="11"/>
    </row>
    <row r="10" spans="1:10" ht="15">
      <c r="A10" s="3">
        <v>4</v>
      </c>
      <c r="B10" s="4" t="s">
        <v>9</v>
      </c>
      <c r="C10" s="6"/>
      <c r="D10" s="6">
        <f>D8+D9</f>
        <v>1619.5</v>
      </c>
      <c r="E10" s="19">
        <f>797.4+587.34+117.57+69.91+5.82+40.97+1.6</f>
        <v>1620.61</v>
      </c>
      <c r="F10" s="18">
        <f>F8+F9</f>
        <v>15.22</v>
      </c>
      <c r="G10" s="18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18">
        <f>17830</f>
        <v>17830</v>
      </c>
      <c r="E11" s="18">
        <f>19200</f>
        <v>19200</v>
      </c>
      <c r="F11" s="18">
        <v>0</v>
      </c>
      <c r="G11" s="18">
        <f>D11-E11-F11+0.0004</f>
        <v>-1369.9996</v>
      </c>
      <c r="H11" s="5">
        <f t="shared" si="0"/>
        <v>-0.16848262291856264</v>
      </c>
      <c r="I11" s="12"/>
      <c r="J11" s="11"/>
    </row>
    <row r="12" spans="1:8" ht="15">
      <c r="A12" s="29"/>
      <c r="B12" s="17" t="s">
        <v>15</v>
      </c>
      <c r="C12" s="6"/>
      <c r="D12" s="18">
        <f>25000</f>
        <v>25000</v>
      </c>
      <c r="E12" s="18">
        <f>8292</f>
        <v>8292</v>
      </c>
      <c r="F12" s="18">
        <v>0</v>
      </c>
      <c r="G12" s="18">
        <f>8357.5+0.0001</f>
        <v>8357.5001</v>
      </c>
      <c r="H12" s="5">
        <f t="shared" si="0"/>
        <v>1.0278058021988834</v>
      </c>
    </row>
    <row r="13" spans="1:8" ht="15">
      <c r="A13" s="30"/>
      <c r="B13" s="9" t="s">
        <v>11</v>
      </c>
      <c r="C13" s="9"/>
      <c r="D13" s="10">
        <f>SUM(D11:D12)</f>
        <v>42830</v>
      </c>
      <c r="E13" s="21">
        <f>SUM(E11:E12)</f>
        <v>27492</v>
      </c>
      <c r="F13" s="21">
        <f>SUM(F11:F12)</f>
        <v>0</v>
      </c>
      <c r="G13" s="21">
        <f>SUM(G11:G12)</f>
        <v>6987.500499999999</v>
      </c>
      <c r="H13" s="5">
        <f t="shared" si="0"/>
        <v>0.8593231792803206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1" sqref="C11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35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.75">
      <c r="A7" s="13">
        <v>1</v>
      </c>
      <c r="B7" s="14" t="s">
        <v>13</v>
      </c>
      <c r="C7" s="23"/>
      <c r="D7" s="24">
        <v>53.3</v>
      </c>
      <c r="E7" s="24">
        <f>31.9564+25.3538-9.130375-0.0007</f>
        <v>48.17912499999999</v>
      </c>
      <c r="F7" s="25">
        <v>0.95</v>
      </c>
      <c r="G7" s="6">
        <f>25.155*0.0678-0.0001</f>
        <v>1.7054090000000002</v>
      </c>
      <c r="H7" s="5">
        <f>G7/8131.38</f>
        <v>0.00020973180444155853</v>
      </c>
      <c r="J7" s="11"/>
    </row>
    <row r="8" spans="1:10" ht="15">
      <c r="A8" s="3">
        <v>2</v>
      </c>
      <c r="B8" s="4" t="s">
        <v>8</v>
      </c>
      <c r="C8" s="5"/>
      <c r="D8" s="26">
        <v>723.5</v>
      </c>
      <c r="E8" s="27">
        <f>471.24+373.95-134.4</f>
        <v>710.7900000000001</v>
      </c>
      <c r="F8" s="18">
        <v>13.99</v>
      </c>
      <c r="G8" s="6">
        <f>D8-E8-F8+0.0634</f>
        <v>-1.2166000000000776</v>
      </c>
      <c r="H8" s="5">
        <f aca="true" t="shared" si="0" ref="H8:H13">G8/8131.38</f>
        <v>-0.0001496179000366577</v>
      </c>
      <c r="J8" s="11"/>
    </row>
    <row r="9" spans="1:10" ht="15">
      <c r="A9" s="3">
        <v>3</v>
      </c>
      <c r="B9" s="4" t="s">
        <v>12</v>
      </c>
      <c r="C9" s="6" t="s">
        <v>34</v>
      </c>
      <c r="D9" s="6">
        <f>25583-24871</f>
        <v>712</v>
      </c>
      <c r="E9" s="10">
        <f>570.36+472.36-162.96</f>
        <v>879.76</v>
      </c>
      <c r="F9" s="18">
        <v>0</v>
      </c>
      <c r="G9" s="6">
        <f>D9-E9-F9+10.4046</f>
        <v>-157.3554</v>
      </c>
      <c r="H9" s="5">
        <f t="shared" si="0"/>
        <v>-0.019351622971746495</v>
      </c>
      <c r="J9" s="11"/>
    </row>
    <row r="10" spans="1:10" ht="15">
      <c r="A10" s="3">
        <v>4</v>
      </c>
      <c r="B10" s="4" t="s">
        <v>9</v>
      </c>
      <c r="C10" s="6"/>
      <c r="D10" s="10">
        <f>D8+D9</f>
        <v>1435.5</v>
      </c>
      <c r="E10" s="6">
        <f>1016.8+843.18+14.19+13.74-297.36</f>
        <v>1590.5500000000002</v>
      </c>
      <c r="F10" s="18">
        <f>F8+F9</f>
        <v>13.99</v>
      </c>
      <c r="G10" s="6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5">
        <f>17630+101</f>
        <v>17731</v>
      </c>
      <c r="E11" s="6">
        <f>24022-2720-326</f>
        <v>20976</v>
      </c>
      <c r="F11" s="6">
        <v>101</v>
      </c>
      <c r="G11" s="6">
        <f>D11-E11-F11+0.0018</f>
        <v>-3345.9982</v>
      </c>
      <c r="H11" s="5">
        <f t="shared" si="0"/>
        <v>-0.4114920468604345</v>
      </c>
      <c r="I11" s="12"/>
      <c r="J11" s="11"/>
    </row>
    <row r="12" spans="1:8" ht="15">
      <c r="A12" s="29"/>
      <c r="B12" s="17" t="s">
        <v>15</v>
      </c>
      <c r="C12" s="6"/>
      <c r="D12" s="5">
        <v>15110</v>
      </c>
      <c r="E12" s="6">
        <v>9593</v>
      </c>
      <c r="F12" s="6">
        <v>0</v>
      </c>
      <c r="G12" s="6">
        <f>D12-E12-F12+0.0005</f>
        <v>5517.0005</v>
      </c>
      <c r="H12" s="5">
        <f t="shared" si="0"/>
        <v>0.6784826806765887</v>
      </c>
    </row>
    <row r="13" spans="1:8" ht="15">
      <c r="A13" s="30"/>
      <c r="B13" s="9" t="s">
        <v>11</v>
      </c>
      <c r="C13" s="9"/>
      <c r="D13" s="10">
        <f>SUM(D11:D12)</f>
        <v>32841</v>
      </c>
      <c r="E13" s="10">
        <f>SUM(E11:E12)</f>
        <v>30569</v>
      </c>
      <c r="F13" s="10">
        <f>SUM(F11:F12)</f>
        <v>101</v>
      </c>
      <c r="G13" s="10">
        <f>SUM(G11:G12)</f>
        <v>2171.0023</v>
      </c>
      <c r="H13" s="5">
        <f t="shared" si="0"/>
        <v>0.26699063381615423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36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.75">
      <c r="A7" s="13">
        <v>1</v>
      </c>
      <c r="B7" s="14" t="s">
        <v>13</v>
      </c>
      <c r="C7" s="23"/>
      <c r="D7" s="24">
        <f>58.31</f>
        <v>58.31</v>
      </c>
      <c r="E7" s="24">
        <f>35.9108-10.260194+22.21+0.0001</f>
        <v>47.86070600000001</v>
      </c>
      <c r="F7" s="25">
        <f>0.19+0.47+0.26+0.17+0.57</f>
        <v>1.6599999999999997</v>
      </c>
      <c r="G7" s="18">
        <f>25.155*0.0762-0.0004</f>
        <v>1.9164110000000003</v>
      </c>
      <c r="H7" s="5">
        <f aca="true" t="shared" si="0" ref="H7:H13">G7/8131.38</f>
        <v>0.00023568090533218226</v>
      </c>
      <c r="J7" s="11"/>
    </row>
    <row r="8" spans="1:10" ht="15">
      <c r="A8" s="3">
        <v>2</v>
      </c>
      <c r="B8" s="4" t="s">
        <v>8</v>
      </c>
      <c r="C8" s="5"/>
      <c r="D8" s="26">
        <f>749.5</f>
        <v>749.5</v>
      </c>
      <c r="E8" s="27">
        <f>471.24-134.4+291.47</f>
        <v>628.3100000000001</v>
      </c>
      <c r="F8" s="18">
        <f>2.53+6.17+3.37+2.24+7.29</f>
        <v>21.6</v>
      </c>
      <c r="G8" s="6">
        <f>25.155-0.0011</f>
        <v>25.1539</v>
      </c>
      <c r="H8" s="5">
        <f t="shared" si="0"/>
        <v>0.0030934355546045076</v>
      </c>
      <c r="J8" s="11"/>
    </row>
    <row r="9" spans="1:10" ht="15">
      <c r="A9" s="3">
        <v>3</v>
      </c>
      <c r="B9" s="4" t="s">
        <v>12</v>
      </c>
      <c r="C9" s="6" t="s">
        <v>37</v>
      </c>
      <c r="D9" s="6">
        <f>26353-25583</f>
        <v>770</v>
      </c>
      <c r="E9" s="10">
        <f>570.36-162.96+462.62</f>
        <v>870.02</v>
      </c>
      <c r="F9" s="18">
        <v>0</v>
      </c>
      <c r="G9" s="6">
        <f>D9-E9-F9+8.0017</f>
        <v>-92.01829999999998</v>
      </c>
      <c r="H9" s="5">
        <f t="shared" si="0"/>
        <v>-0.011316443211361415</v>
      </c>
      <c r="J9" s="11"/>
    </row>
    <row r="10" spans="1:10" ht="15">
      <c r="A10" s="3">
        <v>4</v>
      </c>
      <c r="B10" s="4" t="s">
        <v>9</v>
      </c>
      <c r="C10" s="6"/>
      <c r="D10" s="10">
        <f>D8+D9</f>
        <v>1519.5</v>
      </c>
      <c r="E10" s="6">
        <f>1016.8-290.28+751.34+13.79-3.2+13.76-3.88</f>
        <v>1498.33</v>
      </c>
      <c r="F10" s="18">
        <f>F8+F9</f>
        <v>21.6</v>
      </c>
      <c r="G10" s="6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5">
        <f>16600+103</f>
        <v>16703</v>
      </c>
      <c r="E11" s="6">
        <f>26927-14480-326</f>
        <v>12121</v>
      </c>
      <c r="F11" s="6">
        <f>103</f>
        <v>103</v>
      </c>
      <c r="G11" s="6">
        <f>D11-E11-F11-0.0001</f>
        <v>4478.9999</v>
      </c>
      <c r="H11" s="5">
        <f t="shared" si="0"/>
        <v>0.5508289982758154</v>
      </c>
      <c r="I11" s="12"/>
      <c r="J11" s="11"/>
    </row>
    <row r="12" spans="1:8" ht="15">
      <c r="A12" s="29"/>
      <c r="B12" s="17" t="s">
        <v>15</v>
      </c>
      <c r="C12" s="6"/>
      <c r="D12" s="5">
        <f>19080</f>
        <v>19080</v>
      </c>
      <c r="E12" s="6">
        <f>9713</f>
        <v>9713</v>
      </c>
      <c r="F12" s="6">
        <v>0</v>
      </c>
      <c r="G12" s="6">
        <f>D12-E12-F12-6858.5+0.0008</f>
        <v>2508.5008</v>
      </c>
      <c r="H12" s="5">
        <f t="shared" si="0"/>
        <v>0.30849631919797127</v>
      </c>
    </row>
    <row r="13" spans="1:8" ht="15">
      <c r="A13" s="30"/>
      <c r="B13" s="9" t="s">
        <v>11</v>
      </c>
      <c r="C13" s="9"/>
      <c r="D13" s="10">
        <f>SUM(D11:D12)</f>
        <v>35783</v>
      </c>
      <c r="E13" s="10">
        <f>SUM(E11:E12)</f>
        <v>21834</v>
      </c>
      <c r="F13" s="10">
        <f>SUM(F11:F12)</f>
        <v>103</v>
      </c>
      <c r="G13" s="10">
        <f>SUM(G11:G12)</f>
        <v>6987.5007</v>
      </c>
      <c r="H13" s="5">
        <f t="shared" si="0"/>
        <v>0.8593253174737867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36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38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.75">
      <c r="A7" s="13">
        <v>1</v>
      </c>
      <c r="B7" s="14" t="s">
        <v>13</v>
      </c>
      <c r="C7" s="23"/>
      <c r="D7" s="24">
        <f>58.31</f>
        <v>58.31</v>
      </c>
      <c r="E7" s="24">
        <f>36.4075+24.1206-12.135866+0.0013</f>
        <v>48.393533999999995</v>
      </c>
      <c r="F7" s="25">
        <f>0.19+0.47+0.26+0.17+0.57</f>
        <v>1.6599999999999997</v>
      </c>
      <c r="G7" s="18">
        <f>25.155*0.0766+0.0005</f>
        <v>1.927373</v>
      </c>
      <c r="H7" s="5">
        <f aca="true" t="shared" si="0" ref="H7:H13">G7/8131.38</f>
        <v>0.00023702901598498657</v>
      </c>
      <c r="J7" s="11"/>
    </row>
    <row r="8" spans="1:10" ht="15">
      <c r="A8" s="3">
        <v>2</v>
      </c>
      <c r="B8" s="4" t="s">
        <v>8</v>
      </c>
      <c r="C8" s="5"/>
      <c r="D8" s="26">
        <f>749.5</f>
        <v>749.5</v>
      </c>
      <c r="E8" s="27">
        <f>474.79+314.89-158</f>
        <v>631.6800000000001</v>
      </c>
      <c r="F8" s="6">
        <f>2.53+6.17+3.37+2.24+7.29</f>
        <v>21.6</v>
      </c>
      <c r="G8" s="6">
        <f>25.155-0.0011</f>
        <v>25.1539</v>
      </c>
      <c r="H8" s="5">
        <f t="shared" si="0"/>
        <v>0.0030934355546045076</v>
      </c>
      <c r="J8" s="11"/>
    </row>
    <row r="9" spans="1:10" ht="15">
      <c r="A9" s="3">
        <v>3</v>
      </c>
      <c r="B9" s="4" t="s">
        <v>12</v>
      </c>
      <c r="C9" s="6" t="s">
        <v>39</v>
      </c>
      <c r="D9" s="6">
        <f>27141-26353</f>
        <v>788</v>
      </c>
      <c r="E9" s="10">
        <f>574.33+406.72-191.18</f>
        <v>789.8700000000001</v>
      </c>
      <c r="F9" s="6">
        <v>0</v>
      </c>
      <c r="G9" s="6">
        <f>D9-E9-F9+0.1874</f>
        <v>-1.6826000000001182</v>
      </c>
      <c r="H9" s="5">
        <f t="shared" si="0"/>
        <v>-0.0002069267455216849</v>
      </c>
      <c r="J9" s="11"/>
    </row>
    <row r="10" spans="1:10" ht="15">
      <c r="A10" s="3">
        <v>4</v>
      </c>
      <c r="B10" s="4" t="s">
        <v>9</v>
      </c>
      <c r="C10" s="6"/>
      <c r="D10" s="10">
        <f>D8+D9</f>
        <v>1537.5</v>
      </c>
      <c r="E10" s="6">
        <f>1022.56+720.87+12.76+14.54-340.34-4-4.84</f>
        <v>1421.55</v>
      </c>
      <c r="F10" s="18">
        <f>F8+F9</f>
        <v>21.6</v>
      </c>
      <c r="G10" s="6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5">
        <f>15260+86</f>
        <v>15346</v>
      </c>
      <c r="E11" s="6">
        <f>15357-756-568</f>
        <v>14033</v>
      </c>
      <c r="F11" s="6">
        <f>86</f>
        <v>86</v>
      </c>
      <c r="G11" s="6">
        <f>D11-E11-F11+0.0003</f>
        <v>1227.0003</v>
      </c>
      <c r="H11" s="5">
        <f t="shared" si="0"/>
        <v>0.15089693262398263</v>
      </c>
      <c r="I11" s="12"/>
      <c r="J11" s="11"/>
    </row>
    <row r="12" spans="1:8" ht="15">
      <c r="A12" s="29"/>
      <c r="B12" s="17" t="s">
        <v>15</v>
      </c>
      <c r="C12" s="6"/>
      <c r="D12" s="5">
        <f>12580</f>
        <v>12580</v>
      </c>
      <c r="E12" s="6">
        <f>5262</f>
        <v>5262</v>
      </c>
      <c r="F12" s="6">
        <v>0</v>
      </c>
      <c r="G12" s="6">
        <f>D12-E12-F12-1557.5+0.0003</f>
        <v>5760.5003</v>
      </c>
      <c r="H12" s="5">
        <f t="shared" si="0"/>
        <v>0.7084283725517685</v>
      </c>
    </row>
    <row r="13" spans="1:8" ht="15">
      <c r="A13" s="30"/>
      <c r="B13" s="9" t="s">
        <v>11</v>
      </c>
      <c r="C13" s="9"/>
      <c r="D13" s="10">
        <f>SUM(D11:D12)</f>
        <v>27926</v>
      </c>
      <c r="E13" s="10">
        <f>SUM(E11:E12)</f>
        <v>19295</v>
      </c>
      <c r="F13" s="10">
        <f>SUM(F11:F12)</f>
        <v>86</v>
      </c>
      <c r="G13" s="10">
        <f>SUM(G11:G12)</f>
        <v>6987.500599999999</v>
      </c>
      <c r="H13" s="5">
        <f t="shared" si="0"/>
        <v>0.8593253051757511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8" sqref="E8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18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3">
        <v>1</v>
      </c>
      <c r="B7" s="14" t="s">
        <v>13</v>
      </c>
      <c r="C7" s="13"/>
      <c r="D7" s="15">
        <f>58.54</f>
        <v>58.54</v>
      </c>
      <c r="E7" s="20">
        <f>E8*0.0478+0.0026</f>
        <v>32.238798014400004</v>
      </c>
      <c r="F7" s="15">
        <f>0.2+0.49+0.27+0.18</f>
        <v>1.14</v>
      </c>
      <c r="G7" s="18">
        <f>G8*0.0478+0.0003</f>
        <v>1.20265164</v>
      </c>
      <c r="H7" s="5">
        <f aca="true" t="shared" si="0" ref="H7:H13">G7/8131.4</f>
        <v>0.00014790216198932535</v>
      </c>
      <c r="J7" s="11"/>
    </row>
    <row r="8" spans="1:10" ht="15">
      <c r="A8" s="3">
        <v>2</v>
      </c>
      <c r="B8" s="4" t="s">
        <v>8</v>
      </c>
      <c r="C8" s="5"/>
      <c r="D8" s="5">
        <f>737.9</f>
        <v>737.9</v>
      </c>
      <c r="E8" s="19">
        <f>533.6739-152.206452+285.34+7.59</f>
        <v>674.397448</v>
      </c>
      <c r="F8" s="18">
        <f>2.56+6.26+3.42+2.28</f>
        <v>14.52</v>
      </c>
      <c r="G8" s="18">
        <f>25.155-0.0012</f>
        <v>25.1538</v>
      </c>
      <c r="H8" s="5">
        <f t="shared" si="0"/>
        <v>0.0030934156479818977</v>
      </c>
      <c r="J8" s="11"/>
    </row>
    <row r="9" spans="1:10" ht="15">
      <c r="A9" s="3">
        <v>3</v>
      </c>
      <c r="B9" s="4" t="s">
        <v>12</v>
      </c>
      <c r="C9" s="16" t="s">
        <v>19</v>
      </c>
      <c r="D9" s="6">
        <f>19132-18369</f>
        <v>763</v>
      </c>
      <c r="E9" s="19">
        <f>604.31-172.66+328.33+1.68</f>
        <v>761.66</v>
      </c>
      <c r="F9" s="18">
        <v>0</v>
      </c>
      <c r="G9" s="18">
        <f>D9-E9-0.0056</f>
        <v>1.3344000000000318</v>
      </c>
      <c r="H9" s="5">
        <f t="shared" si="0"/>
        <v>0.0001641045822367651</v>
      </c>
      <c r="J9" s="11"/>
    </row>
    <row r="10" spans="1:10" ht="15">
      <c r="A10" s="3">
        <v>4</v>
      </c>
      <c r="B10" s="4" t="s">
        <v>9</v>
      </c>
      <c r="C10" s="6"/>
      <c r="D10" s="6">
        <f>D8+D9</f>
        <v>1500.9</v>
      </c>
      <c r="E10" s="19">
        <f>761.96+515.05+62.22+70.8374+5.82+18.57+1.6</f>
        <v>1436.0573999999997</v>
      </c>
      <c r="F10" s="18">
        <f>F8+F9</f>
        <v>14.52</v>
      </c>
      <c r="G10" s="18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18">
        <f>18020</f>
        <v>18020</v>
      </c>
      <c r="E11" s="18">
        <f>20179-2440</f>
        <v>17739</v>
      </c>
      <c r="F11" s="18">
        <v>0</v>
      </c>
      <c r="G11" s="18">
        <f>D11-E11-F11+0.0002</f>
        <v>281.0002</v>
      </c>
      <c r="H11" s="5">
        <f t="shared" si="0"/>
        <v>0.0345574193865755</v>
      </c>
      <c r="I11" s="12"/>
      <c r="J11" s="11"/>
    </row>
    <row r="12" spans="1:8" ht="15">
      <c r="A12" s="29"/>
      <c r="B12" s="17" t="s">
        <v>15</v>
      </c>
      <c r="C12" s="6"/>
      <c r="D12" s="18">
        <f>9020</f>
        <v>9020</v>
      </c>
      <c r="E12" s="18">
        <f>11845</f>
        <v>11845</v>
      </c>
      <c r="F12" s="18">
        <v>0</v>
      </c>
      <c r="G12" s="18">
        <f>-2686.3517</f>
        <v>-2686.3517</v>
      </c>
      <c r="H12" s="5">
        <f t="shared" si="0"/>
        <v>-0.33036767346336426</v>
      </c>
    </row>
    <row r="13" spans="1:8" ht="15">
      <c r="A13" s="30"/>
      <c r="B13" s="9" t="s">
        <v>11</v>
      </c>
      <c r="C13" s="9"/>
      <c r="D13" s="10">
        <f>SUM(D11:D12)</f>
        <v>27040</v>
      </c>
      <c r="E13" s="21">
        <f>SUM(E11:E12)</f>
        <v>29584</v>
      </c>
      <c r="F13" s="21">
        <f>SUM(F11:F12)</f>
        <v>0</v>
      </c>
      <c r="G13" s="21">
        <f>SUM(G11:G12)</f>
        <v>-2405.3515</v>
      </c>
      <c r="H13" s="5">
        <f t="shared" si="0"/>
        <v>-0.2958102540767888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20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3">
        <v>1</v>
      </c>
      <c r="B7" s="14" t="s">
        <v>13</v>
      </c>
      <c r="C7" s="13"/>
      <c r="D7" s="15">
        <f>61.05</f>
        <v>61.05</v>
      </c>
      <c r="E7" s="20">
        <f>E8*0.0478+0.0019</f>
        <v>32.190643082600005</v>
      </c>
      <c r="F7" s="15">
        <f>0.21+0.51+0.28+0.18</f>
        <v>1.18</v>
      </c>
      <c r="G7" s="18">
        <f>25.155*0.0478+0.0003</f>
        <v>1.202709</v>
      </c>
      <c r="H7" s="5">
        <f aca="true" t="shared" si="0" ref="H7:H13">G7/8131.4</f>
        <v>0.00014790921612514452</v>
      </c>
      <c r="J7" s="11"/>
    </row>
    <row r="8" spans="1:10" ht="15">
      <c r="A8" s="3">
        <v>2</v>
      </c>
      <c r="B8" s="4" t="s">
        <v>8</v>
      </c>
      <c r="C8" s="5"/>
      <c r="D8" s="5">
        <f>769.4</f>
        <v>769.4</v>
      </c>
      <c r="E8" s="19">
        <f>477.598-136.213333+326.12+5.9</f>
        <v>673.404667</v>
      </c>
      <c r="F8" s="18">
        <f>15.13</f>
        <v>15.13</v>
      </c>
      <c r="G8" s="18">
        <f>25.155-0.0012</f>
        <v>25.1538</v>
      </c>
      <c r="H8" s="5">
        <f t="shared" si="0"/>
        <v>0.0030934156479818977</v>
      </c>
      <c r="J8" s="11"/>
    </row>
    <row r="9" spans="1:10" ht="15">
      <c r="A9" s="3">
        <v>3</v>
      </c>
      <c r="B9" s="4" t="s">
        <v>12</v>
      </c>
      <c r="C9" s="16" t="s">
        <v>21</v>
      </c>
      <c r="D9" s="6">
        <f>20041-19132</f>
        <v>909</v>
      </c>
      <c r="E9" s="19">
        <f>556.78-159.08+368.38+1.76</f>
        <v>767.8399999999999</v>
      </c>
      <c r="F9" s="18">
        <v>0</v>
      </c>
      <c r="G9" s="18">
        <f>25.155-0.1061</f>
        <v>25.0489</v>
      </c>
      <c r="H9" s="5">
        <f t="shared" si="0"/>
        <v>0.0030805150404604373</v>
      </c>
      <c r="J9" s="11"/>
    </row>
    <row r="10" spans="1:10" ht="15">
      <c r="A10" s="3">
        <v>4</v>
      </c>
      <c r="B10" s="4" t="s">
        <v>9</v>
      </c>
      <c r="C10" s="6"/>
      <c r="D10" s="6">
        <f>D8+D9</f>
        <v>1678.4</v>
      </c>
      <c r="E10" s="19">
        <f>699.94+582.46+85.37+47.4547+5.82+18.6+1.6</f>
        <v>1441.2446999999997</v>
      </c>
      <c r="F10" s="18">
        <f>F8+F9</f>
        <v>15.13</v>
      </c>
      <c r="G10" s="18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18">
        <f>14610</f>
        <v>14610</v>
      </c>
      <c r="E11" s="18">
        <f>20698-960</f>
        <v>19738</v>
      </c>
      <c r="F11" s="18">
        <v>0</v>
      </c>
      <c r="G11" s="18">
        <f>D11-E11-F11+0.0008</f>
        <v>-5127.9992</v>
      </c>
      <c r="H11" s="5">
        <f t="shared" si="0"/>
        <v>-0.6306416115306098</v>
      </c>
      <c r="I11" s="12"/>
      <c r="J11" s="11"/>
    </row>
    <row r="12" spans="1:8" ht="15">
      <c r="A12" s="29"/>
      <c r="B12" s="17" t="s">
        <v>15</v>
      </c>
      <c r="C12" s="6"/>
      <c r="D12" s="18">
        <f>23880</f>
        <v>23880</v>
      </c>
      <c r="E12" s="18">
        <f>8120</f>
        <v>8120</v>
      </c>
      <c r="F12" s="18">
        <v>0</v>
      </c>
      <c r="G12" s="18">
        <f>12115.5-0.0009</f>
        <v>12115.4991</v>
      </c>
      <c r="H12" s="5">
        <f t="shared" si="0"/>
        <v>1.4899647170228991</v>
      </c>
    </row>
    <row r="13" spans="1:8" ht="15">
      <c r="A13" s="30"/>
      <c r="B13" s="9" t="s">
        <v>11</v>
      </c>
      <c r="C13" s="9"/>
      <c r="D13" s="10">
        <f>SUM(D11:D12)</f>
        <v>38490</v>
      </c>
      <c r="E13" s="21">
        <f>SUM(E11:E12)</f>
        <v>27858</v>
      </c>
      <c r="F13" s="21">
        <f>SUM(F11:F12)</f>
        <v>0</v>
      </c>
      <c r="G13" s="21">
        <f>SUM(G11:G12)</f>
        <v>6987.499900000001</v>
      </c>
      <c r="H13" s="5">
        <f t="shared" si="0"/>
        <v>0.8593231054922893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22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3">
        <v>1</v>
      </c>
      <c r="B7" s="14" t="s">
        <v>13</v>
      </c>
      <c r="C7" s="13"/>
      <c r="D7" s="15">
        <f>63.47</f>
        <v>63.47</v>
      </c>
      <c r="E7" s="20">
        <f>E8*0.0478+0.001781</f>
        <v>33.4994649904</v>
      </c>
      <c r="F7" s="15">
        <f>0.21+0.51+0.28+0.19</f>
        <v>1.19</v>
      </c>
      <c r="G7" s="18">
        <f>G8*0.0478+0.0003</f>
        <v>1.20265164</v>
      </c>
      <c r="H7" s="5">
        <f aca="true" t="shared" si="0" ref="H7:H13">G7/8131.4</f>
        <v>0.00014790216198932535</v>
      </c>
      <c r="J7" s="11"/>
    </row>
    <row r="8" spans="1:10" ht="15">
      <c r="A8" s="3">
        <v>2</v>
      </c>
      <c r="B8" s="4" t="s">
        <v>8</v>
      </c>
      <c r="C8" s="5"/>
      <c r="D8" s="5">
        <f>915.7</f>
        <v>915.7</v>
      </c>
      <c r="E8" s="19">
        <f>468.8874-133.729032+270.96+94.67</f>
        <v>700.7883679999999</v>
      </c>
      <c r="F8" s="18">
        <f>3.18+7.77+4.24+2.83</f>
        <v>18.02</v>
      </c>
      <c r="G8" s="18">
        <f>25.155-0.0012</f>
        <v>25.1538</v>
      </c>
      <c r="H8" s="5">
        <f t="shared" si="0"/>
        <v>0.0030934156479818977</v>
      </c>
      <c r="J8" s="11"/>
    </row>
    <row r="9" spans="1:10" ht="15">
      <c r="A9" s="3">
        <v>3</v>
      </c>
      <c r="B9" s="4" t="s">
        <v>12</v>
      </c>
      <c r="C9" s="16" t="s">
        <v>23</v>
      </c>
      <c r="D9" s="6">
        <f>20864-20041</f>
        <v>823</v>
      </c>
      <c r="E9" s="19">
        <f>547.1426-156.326452+406.89+110.85</f>
        <v>908.556148</v>
      </c>
      <c r="F9" s="18">
        <v>0</v>
      </c>
      <c r="G9" s="18">
        <f>D9-E9-F9+5.0276</f>
        <v>-80.528548</v>
      </c>
      <c r="H9" s="5">
        <f t="shared" si="0"/>
        <v>-0.00990340507169737</v>
      </c>
      <c r="J9" s="11"/>
    </row>
    <row r="10" spans="1:10" ht="15">
      <c r="A10" s="3">
        <v>4</v>
      </c>
      <c r="B10" s="4" t="s">
        <v>9</v>
      </c>
      <c r="C10" s="6"/>
      <c r="D10" s="6">
        <f>D8+D9</f>
        <v>1738.7</v>
      </c>
      <c r="E10" s="19">
        <f>687.3645+594.81+214.05+48.81+44.11+18.6+1.6</f>
        <v>1609.3444999999997</v>
      </c>
      <c r="F10" s="18">
        <f>F8+F9</f>
        <v>18.02</v>
      </c>
      <c r="G10" s="18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18">
        <f>16450+109</f>
        <v>16559</v>
      </c>
      <c r="E11" s="18">
        <f>17629</f>
        <v>17629</v>
      </c>
      <c r="F11" s="18">
        <f>109</f>
        <v>109</v>
      </c>
      <c r="G11" s="18">
        <f>D11-E11-F11+0.0005</f>
        <v>-1178.9995</v>
      </c>
      <c r="H11" s="5">
        <f t="shared" si="0"/>
        <v>-0.144993420567184</v>
      </c>
      <c r="I11" s="12"/>
      <c r="J11" s="11"/>
    </row>
    <row r="12" spans="1:8" ht="15">
      <c r="A12" s="29"/>
      <c r="B12" s="17" t="s">
        <v>15</v>
      </c>
      <c r="C12" s="6"/>
      <c r="D12" s="18">
        <f>13850</f>
        <v>13850</v>
      </c>
      <c r="E12" s="18">
        <f>6805.9</f>
        <v>6805.9</v>
      </c>
      <c r="F12" s="18">
        <v>0</v>
      </c>
      <c r="G12" s="18">
        <f>D12-E12-F12-0.0004</f>
        <v>7044.0996000000005</v>
      </c>
      <c r="H12" s="5">
        <f t="shared" si="0"/>
        <v>0.8662837395774406</v>
      </c>
    </row>
    <row r="13" spans="1:8" ht="15">
      <c r="A13" s="30"/>
      <c r="B13" s="9" t="s">
        <v>11</v>
      </c>
      <c r="C13" s="9"/>
      <c r="D13" s="10">
        <f>SUM(D11:D12)</f>
        <v>30409</v>
      </c>
      <c r="E13" s="21">
        <f>SUM(E11:E12)</f>
        <v>24434.9</v>
      </c>
      <c r="F13" s="21">
        <f>SUM(F11:F12)</f>
        <v>109</v>
      </c>
      <c r="G13" s="21">
        <f>SUM(G11:G12)</f>
        <v>5865.100100000001</v>
      </c>
      <c r="H13" s="5">
        <f t="shared" si="0"/>
        <v>0.7212903190102566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24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3">
        <v>1</v>
      </c>
      <c r="B7" s="14" t="s">
        <v>13</v>
      </c>
      <c r="C7" s="13"/>
      <c r="D7" s="15">
        <f>44.4</f>
        <v>44.4</v>
      </c>
      <c r="E7" s="20">
        <f>25.5257-7.293047+14.7472+1.5016-0.0005</f>
        <v>34.480953</v>
      </c>
      <c r="F7" s="15">
        <f>0.12+0.31+0.17+0.11</f>
        <v>0.71</v>
      </c>
      <c r="G7" s="18">
        <f>25.155*0.0548-0.0002</f>
        <v>1.3782940000000001</v>
      </c>
      <c r="H7" s="5">
        <f aca="true" t="shared" si="0" ref="H7:H13">G7/8131.4</f>
        <v>0.00016950266866714222</v>
      </c>
      <c r="J7" s="11"/>
    </row>
    <row r="8" spans="1:10" ht="15">
      <c r="A8" s="3">
        <v>2</v>
      </c>
      <c r="B8" s="4" t="s">
        <v>8</v>
      </c>
      <c r="C8" s="5"/>
      <c r="D8" s="5">
        <f>659</f>
        <v>659</v>
      </c>
      <c r="E8" s="19">
        <f>465.63-132.8+269.11+27.4</f>
        <v>629.34</v>
      </c>
      <c r="F8" s="18">
        <f>2.29+5.59+3.05+2.04</f>
        <v>12.969999999999999</v>
      </c>
      <c r="G8" s="18">
        <f>D8-E8-F8+0.0011</f>
        <v>16.69109999999997</v>
      </c>
      <c r="H8" s="5">
        <f t="shared" si="0"/>
        <v>0.002052672356543765</v>
      </c>
      <c r="J8" s="11"/>
    </row>
    <row r="9" spans="1:10" ht="15">
      <c r="A9" s="3">
        <v>3</v>
      </c>
      <c r="B9" s="4" t="s">
        <v>12</v>
      </c>
      <c r="C9" s="16" t="s">
        <v>25</v>
      </c>
      <c r="D9" s="6">
        <f>21661-20864</f>
        <v>797</v>
      </c>
      <c r="E9" s="19">
        <f>543.2-155.2+336.24+4.96</f>
        <v>729.2</v>
      </c>
      <c r="F9" s="18">
        <v>0</v>
      </c>
      <c r="G9" s="18">
        <f>25.155-0.1061</f>
        <v>25.0489</v>
      </c>
      <c r="H9" s="5">
        <f t="shared" si="0"/>
        <v>0.0030805150404604373</v>
      </c>
      <c r="J9" s="11"/>
    </row>
    <row r="10" spans="1:10" ht="15">
      <c r="A10" s="3">
        <v>4</v>
      </c>
      <c r="B10" s="4" t="s">
        <v>9</v>
      </c>
      <c r="C10" s="6"/>
      <c r="D10" s="6">
        <f>D8+D9</f>
        <v>1456</v>
      </c>
      <c r="E10" s="19">
        <f>682.22+525.84+69.96+50.61+9.7+18.61+1.6</f>
        <v>1358.5399999999997</v>
      </c>
      <c r="F10" s="18">
        <f>F8+F9</f>
        <v>12.969999999999999</v>
      </c>
      <c r="G10" s="18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18">
        <f>13560+76</f>
        <v>13636</v>
      </c>
      <c r="E11" s="18">
        <f>18371-219</f>
        <v>18152</v>
      </c>
      <c r="F11" s="18">
        <f>76</f>
        <v>76</v>
      </c>
      <c r="G11" s="18">
        <f>D11-E11-F11</f>
        <v>-4592</v>
      </c>
      <c r="H11" s="5">
        <f t="shared" si="0"/>
        <v>-0.564724401702044</v>
      </c>
      <c r="I11" s="12"/>
      <c r="J11" s="11"/>
    </row>
    <row r="12" spans="1:8" ht="15">
      <c r="A12" s="29"/>
      <c r="B12" s="17" t="s">
        <v>15</v>
      </c>
      <c r="C12" s="6"/>
      <c r="D12" s="18">
        <f>13040</f>
        <v>13040</v>
      </c>
      <c r="E12" s="18">
        <f>8113</f>
        <v>8113</v>
      </c>
      <c r="F12" s="18">
        <v>0</v>
      </c>
      <c r="G12" s="18">
        <f>D12-E12-F12+0.0022</f>
        <v>4927.0022</v>
      </c>
      <c r="H12" s="5">
        <f t="shared" si="0"/>
        <v>0.6059229898910397</v>
      </c>
    </row>
    <row r="13" spans="1:8" ht="15">
      <c r="A13" s="30"/>
      <c r="B13" s="9" t="s">
        <v>11</v>
      </c>
      <c r="C13" s="9"/>
      <c r="D13" s="10">
        <f>SUM(D11:D12)</f>
        <v>26676</v>
      </c>
      <c r="E13" s="21">
        <f>SUM(E11:E12)</f>
        <v>26265</v>
      </c>
      <c r="F13" s="21">
        <f>SUM(F11:F12)</f>
        <v>76</v>
      </c>
      <c r="G13" s="21">
        <f>SUM(G11:G12)</f>
        <v>335.0021999999999</v>
      </c>
      <c r="H13" s="5">
        <f t="shared" si="0"/>
        <v>0.04119858818899574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9" sqref="C9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26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3">
        <v>1</v>
      </c>
      <c r="B7" s="14" t="s">
        <v>13</v>
      </c>
      <c r="C7" s="13"/>
      <c r="D7" s="15">
        <f>34.19</f>
        <v>34.19</v>
      </c>
      <c r="E7" s="20">
        <f>18.1633-6.054413+12.4608+0.2105+0.0007</f>
        <v>24.780887</v>
      </c>
      <c r="F7" s="15">
        <f>0.08+0.19+0.11+0.07</f>
        <v>0.45</v>
      </c>
      <c r="G7" s="18">
        <f>25.155*0.0368+0.0003</f>
        <v>0.9260039999999999</v>
      </c>
      <c r="H7" s="5">
        <f aca="true" t="shared" si="0" ref="H7:H13">G7/8131.4</f>
        <v>0.00011388002066064884</v>
      </c>
      <c r="J7" s="11"/>
    </row>
    <row r="8" spans="1:10" ht="15">
      <c r="A8" s="3">
        <v>2</v>
      </c>
      <c r="B8" s="4" t="s">
        <v>8</v>
      </c>
      <c r="C8" s="5"/>
      <c r="D8" s="5">
        <f>619.1</f>
        <v>619.1</v>
      </c>
      <c r="E8" s="19">
        <f>492.82-164+338.61+5.72</f>
        <v>673.1500000000001</v>
      </c>
      <c r="F8" s="18">
        <f>2.15+5.25+2.87+1.91</f>
        <v>12.18</v>
      </c>
      <c r="G8" s="18">
        <f>D8-E8-F8+4.31</f>
        <v>-61.92000000000007</v>
      </c>
      <c r="H8" s="5">
        <f t="shared" si="0"/>
        <v>-0.007614924859187849</v>
      </c>
      <c r="J8" s="11"/>
    </row>
    <row r="9" spans="1:10" ht="15">
      <c r="A9" s="3">
        <v>3</v>
      </c>
      <c r="B9" s="4" t="s">
        <v>12</v>
      </c>
      <c r="C9" s="16" t="s">
        <v>27</v>
      </c>
      <c r="D9" s="6">
        <f>854</f>
        <v>854</v>
      </c>
      <c r="E9" s="19">
        <f>574.33-191.18+471.34+9.23</f>
        <v>863.72</v>
      </c>
      <c r="F9" s="18">
        <v>0</v>
      </c>
      <c r="G9" s="18">
        <f>D9-E9-F9+0.3466</f>
        <v>-9.373400000000027</v>
      </c>
      <c r="H9" s="5">
        <f t="shared" si="0"/>
        <v>-0.0011527412253732477</v>
      </c>
      <c r="J9" s="11"/>
    </row>
    <row r="10" spans="1:10" ht="15">
      <c r="A10" s="3">
        <v>4</v>
      </c>
      <c r="B10" s="4" t="s">
        <v>9</v>
      </c>
      <c r="C10" s="6"/>
      <c r="D10" s="6">
        <f>D8+D9</f>
        <v>1473.1</v>
      </c>
      <c r="E10" s="19">
        <f>1009.28-355.18+787.05+7.11+59.55+0.48+28.58</f>
        <v>1536.8699999999997</v>
      </c>
      <c r="F10" s="18">
        <f>F8+F9</f>
        <v>12.18</v>
      </c>
      <c r="G10" s="18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18">
        <f>13420+90</f>
        <v>13510</v>
      </c>
      <c r="E11" s="18">
        <f>15405-1692</f>
        <v>13713</v>
      </c>
      <c r="F11" s="18">
        <f>90</f>
        <v>90</v>
      </c>
      <c r="G11" s="18">
        <f>D11-E11-F11+0.0014</f>
        <v>-292.9986</v>
      </c>
      <c r="H11" s="5">
        <f t="shared" si="0"/>
        <v>-0.036032983250116835</v>
      </c>
      <c r="I11" s="12"/>
      <c r="J11" s="11"/>
    </row>
    <row r="12" spans="1:8" ht="15">
      <c r="A12" s="29"/>
      <c r="B12" s="17" t="s">
        <v>15</v>
      </c>
      <c r="C12" s="6"/>
      <c r="D12" s="18">
        <f>13720</f>
        <v>13720</v>
      </c>
      <c r="E12" s="18">
        <f>5974</f>
        <v>5974</v>
      </c>
      <c r="F12" s="18">
        <v>0</v>
      </c>
      <c r="G12" s="18">
        <f>7280.5-0.0008</f>
        <v>7280.4992</v>
      </c>
      <c r="H12" s="5">
        <f t="shared" si="0"/>
        <v>0.8953561748284429</v>
      </c>
    </row>
    <row r="13" spans="1:8" ht="15">
      <c r="A13" s="30"/>
      <c r="B13" s="9" t="s">
        <v>11</v>
      </c>
      <c r="C13" s="9"/>
      <c r="D13" s="10">
        <f>SUM(D11:D12)</f>
        <v>27230</v>
      </c>
      <c r="E13" s="21">
        <f>SUM(E11:E12)</f>
        <v>19687</v>
      </c>
      <c r="F13" s="21">
        <f>SUM(F11:F12)</f>
        <v>90</v>
      </c>
      <c r="G13" s="21">
        <f>SUM(G11:G12)</f>
        <v>6987.5006</v>
      </c>
      <c r="H13" s="5">
        <f t="shared" si="0"/>
        <v>0.859323191578326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28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3">
        <v>1</v>
      </c>
      <c r="B7" s="14" t="s">
        <v>13</v>
      </c>
      <c r="C7" s="13"/>
      <c r="D7" s="15">
        <f>29.42</f>
        <v>29.42</v>
      </c>
      <c r="E7" s="20">
        <f>13.2931-3.798027+11.0855+0.9827-1.27872+0.0003</f>
        <v>20.284853000000002</v>
      </c>
      <c r="F7" s="15">
        <f>0.06+0.15+0.08+0.05</f>
        <v>0.33999999999999997</v>
      </c>
      <c r="G7" s="18">
        <f>25.155*0.0296+0.0011</f>
        <v>0.745688</v>
      </c>
      <c r="H7" s="5">
        <f aca="true" t="shared" si="0" ref="H7:H13">G7/8131.4</f>
        <v>9.170474948963279E-05</v>
      </c>
      <c r="J7" s="11"/>
    </row>
    <row r="8" spans="1:10" ht="15">
      <c r="A8" s="3">
        <v>2</v>
      </c>
      <c r="B8" s="4" t="s">
        <v>8</v>
      </c>
      <c r="C8" s="5"/>
      <c r="D8" s="5">
        <f>591.8</f>
        <v>591.8</v>
      </c>
      <c r="E8" s="19">
        <f>448.8-128+374.51+33.2-43.2</f>
        <v>685.31</v>
      </c>
      <c r="F8" s="18">
        <f>2.01+4.9+2.67+1.78</f>
        <v>11.36</v>
      </c>
      <c r="G8" s="18">
        <f>D8-E8-F8+12.0887</f>
        <v>-92.78129999999999</v>
      </c>
      <c r="H8" s="5">
        <f t="shared" si="0"/>
        <v>-0.011410249157586639</v>
      </c>
      <c r="J8" s="11"/>
    </row>
    <row r="9" spans="1:10" ht="15">
      <c r="A9" s="3">
        <v>3</v>
      </c>
      <c r="B9" s="4" t="s">
        <v>12</v>
      </c>
      <c r="C9" s="16" t="s">
        <v>29</v>
      </c>
      <c r="D9" s="6">
        <f>23239-22515</f>
        <v>724</v>
      </c>
      <c r="E9" s="19">
        <f>536.41-153.26+408.38+17-38.8</f>
        <v>769.73</v>
      </c>
      <c r="F9" s="18">
        <v>0</v>
      </c>
      <c r="G9" s="18">
        <f>D9-E9-F9+3.0349</f>
        <v>-42.69510000000002</v>
      </c>
      <c r="H9" s="5">
        <f t="shared" si="0"/>
        <v>-0.005250645645276338</v>
      </c>
      <c r="J9" s="11"/>
    </row>
    <row r="10" spans="1:10" ht="15">
      <c r="A10" s="3">
        <v>4</v>
      </c>
      <c r="B10" s="4" t="s">
        <v>9</v>
      </c>
      <c r="C10" s="6"/>
      <c r="D10" s="6">
        <f>D8+D9</f>
        <v>1315.8</v>
      </c>
      <c r="E10" s="19">
        <f>954.8-272.58+776.48+42.12+29.09+2.08-4.8+13.73-3.88-82</f>
        <v>1455.0399999999997</v>
      </c>
      <c r="F10" s="18">
        <f>F8+F9</f>
        <v>11.36</v>
      </c>
      <c r="G10" s="18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18">
        <f>13510+48</f>
        <v>13558</v>
      </c>
      <c r="E11" s="18">
        <f>14700-4441-354</f>
        <v>9905</v>
      </c>
      <c r="F11" s="18">
        <f>48</f>
        <v>48</v>
      </c>
      <c r="G11" s="18">
        <f>D11-E11-F11+0.0007</f>
        <v>3605.0007</v>
      </c>
      <c r="H11" s="5">
        <f t="shared" si="0"/>
        <v>0.44334317583687927</v>
      </c>
      <c r="I11" s="12"/>
      <c r="J11" s="11"/>
    </row>
    <row r="12" spans="1:8" ht="15">
      <c r="A12" s="29"/>
      <c r="B12" s="17" t="s">
        <v>15</v>
      </c>
      <c r="C12" s="6"/>
      <c r="D12" s="18">
        <f>11810</f>
        <v>11810</v>
      </c>
      <c r="E12" s="18">
        <f>10815</f>
        <v>10815</v>
      </c>
      <c r="F12" s="18">
        <v>0</v>
      </c>
      <c r="G12" s="18">
        <f>D12-E12-F12+0.0007</f>
        <v>995.0007</v>
      </c>
      <c r="H12" s="5">
        <f t="shared" si="0"/>
        <v>0.12236523845832208</v>
      </c>
    </row>
    <row r="13" spans="1:8" ht="15">
      <c r="A13" s="30"/>
      <c r="B13" s="9" t="s">
        <v>11</v>
      </c>
      <c r="C13" s="9"/>
      <c r="D13" s="10">
        <f>SUM(D11:D12)</f>
        <v>25368</v>
      </c>
      <c r="E13" s="21">
        <f>SUM(E11:E12)</f>
        <v>20720</v>
      </c>
      <c r="F13" s="21">
        <f>SUM(F11:F12)</f>
        <v>48</v>
      </c>
      <c r="G13" s="21">
        <f>SUM(G11:G12)</f>
        <v>4600.0014</v>
      </c>
      <c r="H13" s="5">
        <f t="shared" si="0"/>
        <v>0.5657084142952014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30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3">
        <v>1</v>
      </c>
      <c r="B7" s="14" t="s">
        <v>13</v>
      </c>
      <c r="C7" s="13"/>
      <c r="D7" s="15">
        <f>25.02</f>
        <v>25.02</v>
      </c>
      <c r="E7" s="20">
        <f>10.4052-2.972909+5.9614+0.3851-0.91152-0.0006</f>
        <v>12.866671</v>
      </c>
      <c r="F7" s="15">
        <f>0.04+0.1+0.05+0.04</f>
        <v>0.23</v>
      </c>
      <c r="G7" s="18">
        <f>25.155*0.0211+0.0006</f>
        <v>0.5313705000000001</v>
      </c>
      <c r="H7" s="5">
        <f aca="true" t="shared" si="0" ref="H7:H13">G7/8131.4</f>
        <v>6.534797205893205E-05</v>
      </c>
      <c r="J7" s="11"/>
    </row>
    <row r="8" spans="1:10" ht="15">
      <c r="A8" s="3">
        <v>2</v>
      </c>
      <c r="B8" s="4" t="s">
        <v>8</v>
      </c>
      <c r="C8" s="5"/>
      <c r="D8" s="5">
        <f>571.7</f>
        <v>571.7</v>
      </c>
      <c r="E8" s="19">
        <f>493.68-140.8+282.53+18.25-43.2</f>
        <v>610.4599999999999</v>
      </c>
      <c r="F8" s="18">
        <f>1.94+4.73+2.58+1.72</f>
        <v>10.97</v>
      </c>
      <c r="G8" s="18">
        <f>D8-E8-F8+4.7269</f>
        <v>-45.003099999999876</v>
      </c>
      <c r="H8" s="5">
        <f t="shared" si="0"/>
        <v>-0.005534483606758968</v>
      </c>
      <c r="J8" s="11"/>
    </row>
    <row r="9" spans="1:10" ht="15">
      <c r="A9" s="3">
        <v>3</v>
      </c>
      <c r="B9" s="4" t="s">
        <v>12</v>
      </c>
      <c r="C9" s="22" t="s">
        <v>31</v>
      </c>
      <c r="D9" s="6">
        <f>24090-23239</f>
        <v>851</v>
      </c>
      <c r="E9" s="19">
        <f>590.73-168.78+464.3+21.51-38.8</f>
        <v>868.96</v>
      </c>
      <c r="F9" s="18">
        <v>0</v>
      </c>
      <c r="G9" s="18">
        <f>D9-E9-F9+1.1207</f>
        <v>-16.839300000000037</v>
      </c>
      <c r="H9" s="5">
        <f t="shared" si="0"/>
        <v>-0.002070898000344349</v>
      </c>
      <c r="J9" s="11"/>
    </row>
    <row r="10" spans="1:10" ht="15">
      <c r="A10" s="3">
        <v>4</v>
      </c>
      <c r="B10" s="4" t="s">
        <v>9</v>
      </c>
      <c r="C10" s="6"/>
      <c r="D10" s="6">
        <f>D8+D9</f>
        <v>1422.7</v>
      </c>
      <c r="E10" s="19">
        <f>1054-300.9+749.62+30.84-82+19.23+3.55-4.8+13.76-3.88</f>
        <v>1479.4199999999998</v>
      </c>
      <c r="F10" s="18">
        <f>F8+F9</f>
        <v>10.97</v>
      </c>
      <c r="G10" s="18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18">
        <f>13983+80</f>
        <v>14063</v>
      </c>
      <c r="E11" s="18">
        <f>21208-3591-354</f>
        <v>17263</v>
      </c>
      <c r="F11" s="18">
        <f>80</f>
        <v>80</v>
      </c>
      <c r="G11" s="18">
        <f>D11-E11-F11+183.6699</f>
        <v>-3096.3301</v>
      </c>
      <c r="H11" s="5">
        <f t="shared" si="0"/>
        <v>-0.380786838674767</v>
      </c>
      <c r="I11" s="12"/>
      <c r="J11" s="11"/>
    </row>
    <row r="12" spans="1:8" ht="15">
      <c r="A12" s="29"/>
      <c r="B12" s="17" t="s">
        <v>15</v>
      </c>
      <c r="C12" s="6"/>
      <c r="D12" s="18">
        <f>12287</f>
        <v>12287</v>
      </c>
      <c r="E12" s="18">
        <f>9299</f>
        <v>9299</v>
      </c>
      <c r="F12" s="18">
        <v>0</v>
      </c>
      <c r="G12" s="18">
        <f>D12-E12-F12-173.9317</f>
        <v>2814.0683</v>
      </c>
      <c r="H12" s="5">
        <f t="shared" si="0"/>
        <v>0.34607426765378657</v>
      </c>
    </row>
    <row r="13" spans="1:8" ht="15">
      <c r="A13" s="30"/>
      <c r="B13" s="9" t="s">
        <v>11</v>
      </c>
      <c r="C13" s="9"/>
      <c r="D13" s="10">
        <f>SUM(D11:D12)</f>
        <v>26350</v>
      </c>
      <c r="E13" s="21">
        <f>SUM(E11:E12)</f>
        <v>26562</v>
      </c>
      <c r="F13" s="21">
        <f>SUM(F11:F12)</f>
        <v>80</v>
      </c>
      <c r="G13" s="21">
        <f>SUM(G11:G12)</f>
        <v>-282.2618000000002</v>
      </c>
      <c r="H13" s="5">
        <f t="shared" si="0"/>
        <v>-0.03471257102098042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421875" style="0" customWidth="1"/>
    <col min="5" max="5" width="16.7109375" style="0" customWidth="1"/>
    <col min="6" max="6" width="15.140625" style="0" customWidth="1"/>
    <col min="7" max="7" width="12.28125" style="0" customWidth="1"/>
    <col min="8" max="8" width="12.421875" style="0" customWidth="1"/>
    <col min="9" max="9" width="9.57421875" style="0" bestFit="1" customWidth="1"/>
  </cols>
  <sheetData>
    <row r="3" spans="2:3" ht="15.75">
      <c r="B3" s="8" t="s">
        <v>32</v>
      </c>
      <c r="C3" s="8"/>
    </row>
    <row r="4" spans="1:8" ht="15">
      <c r="A4" s="35" t="s">
        <v>7</v>
      </c>
      <c r="B4" s="35"/>
      <c r="C4" s="35"/>
      <c r="D4" s="35"/>
      <c r="E4" s="35"/>
      <c r="F4" s="35"/>
      <c r="G4" s="35"/>
      <c r="H4" s="35"/>
    </row>
    <row r="5" spans="1:8" ht="64.5" customHeight="1">
      <c r="A5" s="31" t="s">
        <v>0</v>
      </c>
      <c r="B5" s="33" t="s">
        <v>1</v>
      </c>
      <c r="C5" s="31" t="s">
        <v>2</v>
      </c>
      <c r="D5" s="31" t="s">
        <v>10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23.2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3">
        <v>1</v>
      </c>
      <c r="B7" s="14" t="s">
        <v>13</v>
      </c>
      <c r="C7" s="13"/>
      <c r="D7" s="15">
        <f>37.27</f>
        <v>37.27</v>
      </c>
      <c r="E7" s="20">
        <f>19.3669-5.533422+13.4158+0.933-0.0002</f>
        <v>28.182078000000004</v>
      </c>
      <c r="F7" s="15">
        <f>0.09+0.23+0.12+0.08</f>
        <v>0.52</v>
      </c>
      <c r="G7" s="18">
        <f>25.155*0.0397</f>
        <v>0.9986535</v>
      </c>
      <c r="H7" s="5">
        <f aca="true" t="shared" si="0" ref="H7:H13">G7/8131.4</f>
        <v>0.00012281445999458887</v>
      </c>
      <c r="J7" s="11"/>
    </row>
    <row r="8" spans="1:10" ht="15">
      <c r="A8" s="3">
        <v>2</v>
      </c>
      <c r="B8" s="4" t="s">
        <v>8</v>
      </c>
      <c r="C8" s="5"/>
      <c r="D8" s="5">
        <f>700.1</f>
        <v>700.1</v>
      </c>
      <c r="E8" s="19">
        <f>488.07-139.2+337.93+23.5</f>
        <v>710.3</v>
      </c>
      <c r="F8" s="18">
        <f>2.36+5.77+3.15+2.1</f>
        <v>13.379999999999999</v>
      </c>
      <c r="G8" s="18">
        <f>D8-E8-F8+1.7224</f>
        <v>-21.85759999999993</v>
      </c>
      <c r="H8" s="5">
        <f t="shared" si="0"/>
        <v>-0.0026880487984848773</v>
      </c>
      <c r="J8" s="11"/>
    </row>
    <row r="9" spans="1:10" ht="15">
      <c r="A9" s="3">
        <v>3</v>
      </c>
      <c r="B9" s="4" t="s">
        <v>12</v>
      </c>
      <c r="C9" s="22" t="s">
        <v>33</v>
      </c>
      <c r="D9" s="6">
        <f>24871-24090</f>
        <v>781</v>
      </c>
      <c r="E9" s="19">
        <f>590.73-168.78+452.58+168.13</f>
        <v>1042.6599999999999</v>
      </c>
      <c r="F9" s="18">
        <v>0</v>
      </c>
      <c r="G9" s="18">
        <f>D9-E9-F9+22.872</f>
        <v>-238.78799999999984</v>
      </c>
      <c r="H9" s="5">
        <f t="shared" si="0"/>
        <v>-0.029366160808716808</v>
      </c>
      <c r="J9" s="11"/>
    </row>
    <row r="10" spans="1:10" ht="15">
      <c r="A10" s="3">
        <v>4</v>
      </c>
      <c r="B10" s="4" t="s">
        <v>9</v>
      </c>
      <c r="C10" s="6"/>
      <c r="D10" s="6">
        <f>D8+D9</f>
        <v>1481.1</v>
      </c>
      <c r="E10" s="19">
        <f>1054-300.9+802.81+176.18+14.62-3.2+13.33-3.88</f>
        <v>1752.9599999999996</v>
      </c>
      <c r="F10" s="18">
        <f>F8+F9</f>
        <v>13.379999999999999</v>
      </c>
      <c r="G10" s="18">
        <v>0</v>
      </c>
      <c r="H10" s="5">
        <f t="shared" si="0"/>
        <v>0</v>
      </c>
      <c r="I10" s="12"/>
      <c r="J10" s="11"/>
    </row>
    <row r="11" spans="1:10" ht="15">
      <c r="A11" s="28">
        <v>5</v>
      </c>
      <c r="B11" s="17" t="s">
        <v>14</v>
      </c>
      <c r="C11" s="6"/>
      <c r="D11" s="18">
        <f>16947+42</f>
        <v>16989</v>
      </c>
      <c r="E11" s="18">
        <f>21717-3276-326</f>
        <v>18115</v>
      </c>
      <c r="F11" s="18">
        <f>42</f>
        <v>42</v>
      </c>
      <c r="G11" s="18">
        <f>D11-E11-F11+0.0008</f>
        <v>-1167.9992</v>
      </c>
      <c r="H11" s="5">
        <f t="shared" si="0"/>
        <v>-0.14364060309417812</v>
      </c>
      <c r="I11" s="12"/>
      <c r="J11" s="11"/>
    </row>
    <row r="12" spans="1:8" ht="15">
      <c r="A12" s="29"/>
      <c r="B12" s="17" t="s">
        <v>15</v>
      </c>
      <c r="C12" s="6"/>
      <c r="D12" s="18">
        <f>15873</f>
        <v>15873</v>
      </c>
      <c r="E12" s="18">
        <f>6160</f>
        <v>6160</v>
      </c>
      <c r="F12" s="18">
        <v>0</v>
      </c>
      <c r="G12" s="18">
        <f>8155.5+0.0005</f>
        <v>8155.5005</v>
      </c>
      <c r="H12" s="5">
        <f t="shared" si="0"/>
        <v>1.002963880758541</v>
      </c>
    </row>
    <row r="13" spans="1:8" ht="15">
      <c r="A13" s="30"/>
      <c r="B13" s="9" t="s">
        <v>11</v>
      </c>
      <c r="C13" s="9"/>
      <c r="D13" s="10">
        <f>SUM(D11:D12)</f>
        <v>32862</v>
      </c>
      <c r="E13" s="21">
        <f>SUM(E11:E12)</f>
        <v>24275</v>
      </c>
      <c r="F13" s="21">
        <f>SUM(F11:F12)</f>
        <v>42</v>
      </c>
      <c r="G13" s="21">
        <f>SUM(G11:G12)</f>
        <v>6987.5013</v>
      </c>
      <c r="H13" s="5">
        <f t="shared" si="0"/>
        <v>0.8593232776643629</v>
      </c>
    </row>
    <row r="14" spans="1:6" ht="15">
      <c r="A14" s="1"/>
      <c r="B14" s="1"/>
      <c r="C14" s="1"/>
      <c r="D14" s="1"/>
      <c r="E14" s="7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0">
    <mergeCell ref="A11:A13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2012-11-26T03:35:31Z</cp:lastPrinted>
  <dcterms:created xsi:type="dcterms:W3CDTF">2006-09-16T00:00:00Z</dcterms:created>
  <dcterms:modified xsi:type="dcterms:W3CDTF">2017-01-31T11:42:45Z</dcterms:modified>
  <cp:category/>
  <cp:version/>
  <cp:contentType/>
  <cp:contentStatus/>
</cp:coreProperties>
</file>