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16-б (январь) " sheetId="1" r:id="rId1"/>
    <sheet name="16-б (февраль)" sheetId="2" r:id="rId2"/>
    <sheet name="16-б (март)" sheetId="3" r:id="rId3"/>
    <sheet name="16-б (апрель)" sheetId="4" r:id="rId4"/>
    <sheet name="16-б (май)" sheetId="5" r:id="rId5"/>
    <sheet name="16-б (июнь)" sheetId="6" r:id="rId6"/>
    <sheet name="16-б (июль)" sheetId="7" r:id="rId7"/>
    <sheet name="16-б (август)" sheetId="8" r:id="rId8"/>
    <sheet name="16-б (сентябрь)" sheetId="9" r:id="rId9"/>
    <sheet name="16-б (октябрь)" sheetId="10" r:id="rId10"/>
    <sheet name="16-б (ноябрь)" sheetId="11" r:id="rId11"/>
    <sheet name="16-б (декабрь)" sheetId="12" r:id="rId12"/>
  </sheets>
  <definedNames/>
  <calcPr fullCalcOnLoad="1"/>
</workbook>
</file>

<file path=xl/sharedStrings.xml><?xml version="1.0" encoding="utf-8"?>
<sst xmlns="http://schemas.openxmlformats.org/spreadsheetml/2006/main" count="234" uniqueCount="51">
  <si>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</si>
  <si>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</si>
  <si>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</si>
  <si>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</si>
  <si>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</si>
  <si>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</si>
  <si>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</si>
  <si>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</si>
  <si>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Металлургов 16-б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</si>
  <si>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</si>
  <si>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</si>
  <si>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</si>
  <si>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</si>
  <si>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</si>
  <si>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</si>
  <si>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сч.107422</t>
  </si>
  <si>
    <t>эл.эн.ночь № сч.107422</t>
  </si>
  <si>
    <t>эл.эн.день № сч.684377</t>
  </si>
  <si>
    <t>эл.эн.ночь № сч.684377</t>
  </si>
  <si>
    <t>эл.эн.день № сч.35255</t>
  </si>
  <si>
    <t>эл.эн.ночь № сч.35255</t>
  </si>
  <si>
    <t>день эл.эн.</t>
  </si>
  <si>
    <t>ночь эл.эн.</t>
  </si>
  <si>
    <t>ХВС (тонн)</t>
  </si>
  <si>
    <t>нагрев воды (Г.кал.)</t>
  </si>
  <si>
    <t>Объем коммунальных услуг по показаниям общедомовых приборов учета (ОДН) за январь в феврале 2015г.</t>
  </si>
  <si>
    <t>53017/54503,1643/1664</t>
  </si>
  <si>
    <t>Объем коммунальных услуг по показаниям общедомовых приборов учета (ОДН) за февраль в марте 2015г.</t>
  </si>
  <si>
    <t>54503/56181,1664/1696</t>
  </si>
  <si>
    <t>Объем коммунальных услуг по показаниям общедомовых приборов учета (ОДН) за март в апреле 2015г.</t>
  </si>
  <si>
    <t>56181/57925,1 696/1727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</si>
  <si>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</si>
  <si>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</si>
  <si>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апрель в мае 2015г.</t>
  </si>
  <si>
    <t>57925/58353,/59445,1727/1735/1762</t>
  </si>
  <si>
    <t>Объем коммунальных услуг по показаниям общедомовых приборов учета (ОДН) за май в июне 2015г.</t>
  </si>
  <si>
    <t>59445/60357,1762/1792</t>
  </si>
  <si>
    <t>Объем коммунальных услуг по показаниям общедомовых приборов учета (ОДН) за июнь в июле 2015г.</t>
  </si>
  <si>
    <t>60357/61180,1792/1822</t>
  </si>
  <si>
    <t>Объем коммунальных услуг по показаниям общедомовых приборов учета (ОДН) за июль в августе 2015г.</t>
  </si>
  <si>
    <t>61180/61541; 47,73*17; 1822/1855</t>
  </si>
  <si>
    <t>Объем коммунальных услуг по показаниям общедомовых приборов учета (ОДН) за август в сентябре 2015г.</t>
  </si>
  <si>
    <t>43,305*11; 61551/62256;1/31;1855/1865</t>
  </si>
  <si>
    <t>Объем коммунальных услуг по показаниям общедомовых приборов учета (ОДН) за сентябрь в октябре 2015г.</t>
  </si>
  <si>
    <t>62256/63421, 31/68</t>
  </si>
  <si>
    <t>Объем коммунальных услуг по показаниям общедомовых приборов учета (ОДН) за октябрь в ноябре 2015г.</t>
  </si>
  <si>
    <t>63421/65053, 68/106</t>
  </si>
  <si>
    <t>Объем коммунальных услуг по показаниям общедомовых приборов учета (ОДН) за ноябрь в декабре 2015г.</t>
  </si>
  <si>
    <t>65053/66988, 106/146</t>
  </si>
  <si>
    <t>Объем коммунальных услуг по показаниям общедомовых приборов учета (ОДН) за декабрь в январе 2016г.</t>
  </si>
  <si>
    <t>66988/68712,146/186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</si>
</sst>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#,##0.0000"/>
    <numFmt numFmtId="169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24" borderId="0" xfId="0" applyNumberForma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 wrapText="1"/>
    </xf>
    <xf numFmtId="167" fontId="0" fillId="24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24" borderId="10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9" sqref="D9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22.00390625" style="0" customWidth="1"/>
    <col min="4" max="4" width="16.57421875" style="0" customWidth="1"/>
    <col min="5" max="5" width="16.140625" style="0" customWidth="1"/>
    <col min="6" max="6" width="15.57421875" style="0" customWidth="1"/>
    <col min="7" max="7" width="16.7109375" style="0" customWidth="1"/>
    <col min="8" max="8" width="15.28125" style="0" customWidth="1"/>
    <col min="9" max="9" width="12.57421875" style="0" customWidth="1"/>
    <col min="10" max="10" width="12.421875" style="0" customWidth="1"/>
    <col min="11" max="11" width="9.57421875" style="0" bestFit="1" customWidth="1"/>
  </cols>
  <sheetData>
    <row r="3" ht="15.75">
      <c r="C3" s="12" t="s">
        <v>25</v>
      </c>
    </row>
    <row r="4" spans="1:10" ht="15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74.25" customHeight="1">
      <c r="A5" s="31" t="s">
        <v>0</v>
      </c>
      <c r="B5" s="33" t="s">
        <v>1</v>
      </c>
      <c r="C5" s="31" t="s">
        <v>2</v>
      </c>
      <c r="D5" s="39" t="s">
        <v>7</v>
      </c>
      <c r="E5" s="40"/>
      <c r="F5" s="31" t="s">
        <v>11</v>
      </c>
      <c r="G5" s="31" t="s">
        <v>3</v>
      </c>
      <c r="H5" s="31" t="s">
        <v>4</v>
      </c>
      <c r="I5" s="31" t="s">
        <v>5</v>
      </c>
      <c r="J5" s="33" t="s">
        <v>6</v>
      </c>
    </row>
    <row r="6" spans="1:10" ht="15.75">
      <c r="A6" s="32"/>
      <c r="B6" s="34"/>
      <c r="C6" s="32"/>
      <c r="D6" s="13" t="s">
        <v>12</v>
      </c>
      <c r="E6" s="14" t="s">
        <v>13</v>
      </c>
      <c r="F6" s="32"/>
      <c r="G6" s="32"/>
      <c r="H6" s="32"/>
      <c r="I6" s="32"/>
      <c r="J6" s="34"/>
    </row>
    <row r="7" spans="1:12" ht="15">
      <c r="A7" s="15">
        <v>1</v>
      </c>
      <c r="B7" s="16" t="s">
        <v>24</v>
      </c>
      <c r="C7" s="15"/>
      <c r="D7" s="17"/>
      <c r="E7" s="15"/>
      <c r="F7" s="18">
        <v>0</v>
      </c>
      <c r="G7" s="18">
        <f>G8*0.0478</f>
        <v>31.574768</v>
      </c>
      <c r="H7" s="18">
        <v>0</v>
      </c>
      <c r="I7" s="5">
        <f>F7-G7-H7</f>
        <v>-31.574768</v>
      </c>
      <c r="J7" s="6">
        <f aca="true" t="shared" si="0" ref="J7:J19">I7/7426.75</f>
        <v>-0.004251491971589187</v>
      </c>
      <c r="L7" s="8"/>
    </row>
    <row r="8" spans="1:12" ht="15">
      <c r="A8" s="2">
        <v>2</v>
      </c>
      <c r="B8" s="3" t="s">
        <v>9</v>
      </c>
      <c r="C8" s="5"/>
      <c r="D8" s="4"/>
      <c r="E8" s="4"/>
      <c r="F8" s="6">
        <v>0</v>
      </c>
      <c r="G8" s="5">
        <f>316.79+336.59+7.18</f>
        <v>660.56</v>
      </c>
      <c r="H8" s="5">
        <v>0</v>
      </c>
      <c r="I8" s="5">
        <v>0</v>
      </c>
      <c r="J8" s="6">
        <f t="shared" si="0"/>
        <v>0</v>
      </c>
      <c r="L8" s="8"/>
    </row>
    <row r="9" spans="1:12" ht="15">
      <c r="A9" s="2">
        <v>3</v>
      </c>
      <c r="B9" s="3" t="s">
        <v>23</v>
      </c>
      <c r="C9" s="5" t="s">
        <v>26</v>
      </c>
      <c r="D9" s="4"/>
      <c r="E9" s="4"/>
      <c r="F9" s="5">
        <f>1486+21</f>
        <v>1507</v>
      </c>
      <c r="G9" s="5">
        <f>300.7+489.57+173.32</f>
        <v>963.5899999999999</v>
      </c>
      <c r="H9" s="5">
        <f>37</f>
        <v>37</v>
      </c>
      <c r="I9" s="5">
        <f>F9-G9-H9-G8-H8</f>
        <v>-154.14999999999986</v>
      </c>
      <c r="J9" s="6">
        <f t="shared" si="0"/>
        <v>-0.02075605076244654</v>
      </c>
      <c r="L9" s="8"/>
    </row>
    <row r="10" spans="1:10" ht="15">
      <c r="A10" s="2">
        <v>4</v>
      </c>
      <c r="B10" s="3" t="s">
        <v>10</v>
      </c>
      <c r="C10" s="5"/>
      <c r="D10" s="4"/>
      <c r="E10" s="4"/>
      <c r="F10" s="5">
        <f>F8+F9</f>
        <v>1507</v>
      </c>
      <c r="G10" s="5">
        <f>549.32+784.06+163.6+127.17</f>
        <v>1624.15</v>
      </c>
      <c r="H10" s="5">
        <f>H8+H9</f>
        <v>37</v>
      </c>
      <c r="I10" s="5">
        <v>0</v>
      </c>
      <c r="J10" s="6">
        <f t="shared" si="0"/>
        <v>0</v>
      </c>
    </row>
    <row r="11" spans="1:10" ht="15">
      <c r="A11" s="35">
        <v>5</v>
      </c>
      <c r="B11" s="3" t="s">
        <v>15</v>
      </c>
      <c r="C11" s="5"/>
      <c r="D11" s="9">
        <v>66656</v>
      </c>
      <c r="E11" s="9">
        <v>68224</v>
      </c>
      <c r="F11" s="6">
        <f>(E11-D11)*1</f>
        <v>1568</v>
      </c>
      <c r="G11" s="5">
        <v>0</v>
      </c>
      <c r="H11" s="5">
        <v>0</v>
      </c>
      <c r="I11" s="5">
        <f aca="true" t="shared" si="1" ref="I11:I16">F11-G11-H11</f>
        <v>1568</v>
      </c>
      <c r="J11" s="6">
        <f t="shared" si="0"/>
        <v>0.21112869020769515</v>
      </c>
    </row>
    <row r="12" spans="1:10" ht="15">
      <c r="A12" s="36"/>
      <c r="B12" s="3" t="s">
        <v>16</v>
      </c>
      <c r="C12" s="5"/>
      <c r="D12" s="9">
        <v>80870</v>
      </c>
      <c r="E12" s="9">
        <v>83178</v>
      </c>
      <c r="F12" s="6">
        <f>(E12-D12)*1</f>
        <v>2308</v>
      </c>
      <c r="G12" s="5">
        <v>0</v>
      </c>
      <c r="H12" s="5">
        <v>0</v>
      </c>
      <c r="I12" s="5">
        <f t="shared" si="1"/>
        <v>2308</v>
      </c>
      <c r="J12" s="6">
        <f t="shared" si="0"/>
        <v>0.310768505739388</v>
      </c>
    </row>
    <row r="13" spans="1:10" ht="15">
      <c r="A13" s="36"/>
      <c r="B13" s="3" t="s">
        <v>17</v>
      </c>
      <c r="C13" s="5"/>
      <c r="D13" s="9">
        <v>22487</v>
      </c>
      <c r="E13" s="9">
        <v>22689</v>
      </c>
      <c r="F13" s="6">
        <f>(E13-D13)*15</f>
        <v>3030</v>
      </c>
      <c r="G13" s="5">
        <v>0</v>
      </c>
      <c r="H13" s="5">
        <v>0</v>
      </c>
      <c r="I13" s="5">
        <f t="shared" si="1"/>
        <v>3030</v>
      </c>
      <c r="J13" s="6">
        <f t="shared" si="0"/>
        <v>0.40798465008247214</v>
      </c>
    </row>
    <row r="14" spans="1:10" ht="15">
      <c r="A14" s="36"/>
      <c r="B14" s="3" t="s">
        <v>18</v>
      </c>
      <c r="C14" s="5"/>
      <c r="D14" s="9">
        <v>21577</v>
      </c>
      <c r="E14" s="9">
        <v>21770</v>
      </c>
      <c r="F14" s="6">
        <f>(E14-D14)*15</f>
        <v>2895</v>
      </c>
      <c r="G14" s="5">
        <v>0</v>
      </c>
      <c r="H14" s="5">
        <v>0</v>
      </c>
      <c r="I14" s="5">
        <f t="shared" si="1"/>
        <v>2895</v>
      </c>
      <c r="J14" s="6">
        <f t="shared" si="0"/>
        <v>0.38980711616790653</v>
      </c>
    </row>
    <row r="15" spans="1:10" ht="15">
      <c r="A15" s="36"/>
      <c r="B15" s="3" t="s">
        <v>19</v>
      </c>
      <c r="C15" s="5"/>
      <c r="D15" s="9">
        <v>8895</v>
      </c>
      <c r="E15" s="9">
        <v>8954</v>
      </c>
      <c r="F15" s="6">
        <f>(E15-D15)*20</f>
        <v>1180</v>
      </c>
      <c r="G15" s="5">
        <v>0</v>
      </c>
      <c r="H15" s="5">
        <v>0</v>
      </c>
      <c r="I15" s="5">
        <f t="shared" si="1"/>
        <v>1180</v>
      </c>
      <c r="J15" s="6">
        <f t="shared" si="0"/>
        <v>0.15888511125323998</v>
      </c>
    </row>
    <row r="16" spans="1:10" ht="15">
      <c r="A16" s="36"/>
      <c r="B16" s="3" t="s">
        <v>20</v>
      </c>
      <c r="C16" s="5"/>
      <c r="D16" s="9">
        <v>10095</v>
      </c>
      <c r="E16" s="9">
        <v>10163</v>
      </c>
      <c r="F16" s="6">
        <f>(E16-D16)*20</f>
        <v>1360</v>
      </c>
      <c r="G16" s="5">
        <v>0</v>
      </c>
      <c r="H16" s="5">
        <v>0</v>
      </c>
      <c r="I16" s="5">
        <f t="shared" si="1"/>
        <v>1360</v>
      </c>
      <c r="J16" s="6">
        <f t="shared" si="0"/>
        <v>0.18312182313932743</v>
      </c>
    </row>
    <row r="17" spans="1:12" ht="15">
      <c r="A17" s="37"/>
      <c r="B17" s="19" t="s">
        <v>14</v>
      </c>
      <c r="C17" s="19"/>
      <c r="D17" s="7"/>
      <c r="E17" s="19"/>
      <c r="F17" s="20">
        <f>SUM(F11:F16)</f>
        <v>12341</v>
      </c>
      <c r="G17" s="20">
        <f>SUM(G11:G16)</f>
        <v>0</v>
      </c>
      <c r="H17" s="20">
        <f>SUM(H11:H16)</f>
        <v>0</v>
      </c>
      <c r="I17" s="20">
        <f>SUM(I11:I16)</f>
        <v>12341</v>
      </c>
      <c r="J17" s="6">
        <f t="shared" si="0"/>
        <v>1.6616958965900293</v>
      </c>
      <c r="K17" s="11"/>
      <c r="L17" s="8"/>
    </row>
    <row r="18" spans="1:12" ht="15">
      <c r="A18" s="1"/>
      <c r="B18" s="1"/>
      <c r="C18" s="1"/>
      <c r="D18" s="1"/>
      <c r="E18" s="1" t="s">
        <v>21</v>
      </c>
      <c r="F18" s="21">
        <f aca="true" t="shared" si="2" ref="F18:I19">F11+F13+F15</f>
        <v>5778</v>
      </c>
      <c r="G18" s="21">
        <f t="shared" si="2"/>
        <v>0</v>
      </c>
      <c r="H18" s="21">
        <f t="shared" si="2"/>
        <v>0</v>
      </c>
      <c r="I18" s="21">
        <f t="shared" si="2"/>
        <v>5778</v>
      </c>
      <c r="J18" s="6">
        <f t="shared" si="0"/>
        <v>0.7779984515434073</v>
      </c>
      <c r="K18" s="11"/>
      <c r="L18" s="8"/>
    </row>
    <row r="19" spans="1:10" ht="15">
      <c r="A19" s="1"/>
      <c r="B19" s="1"/>
      <c r="C19" s="1"/>
      <c r="D19" s="1"/>
      <c r="E19" s="1" t="s">
        <v>22</v>
      </c>
      <c r="F19" s="10">
        <f t="shared" si="2"/>
        <v>6563</v>
      </c>
      <c r="G19" s="10">
        <f t="shared" si="2"/>
        <v>0</v>
      </c>
      <c r="H19" s="10">
        <f t="shared" si="2"/>
        <v>0</v>
      </c>
      <c r="I19" s="10">
        <f t="shared" si="2"/>
        <v>6563</v>
      </c>
      <c r="J19" s="6">
        <f t="shared" si="0"/>
        <v>0.883697445046622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36.00390625" style="0" customWidth="1"/>
    <col min="4" max="4" width="15.57421875" style="0" customWidth="1"/>
    <col min="5" max="5" width="16.7109375" style="0" customWidth="1"/>
    <col min="6" max="6" width="15.28125" style="0" customWidth="1"/>
    <col min="7" max="7" width="12.57421875" style="0" customWidth="1"/>
    <col min="8" max="8" width="12.421875" style="0" customWidth="1"/>
    <col min="9" max="9" width="9.57421875" style="0" bestFit="1" customWidth="1"/>
  </cols>
  <sheetData>
    <row r="3" spans="2:3" ht="15.75">
      <c r="B3" s="12" t="s">
        <v>45</v>
      </c>
      <c r="C3" s="12"/>
    </row>
    <row r="4" spans="1:8" ht="15">
      <c r="A4" s="38" t="s">
        <v>8</v>
      </c>
      <c r="B4" s="38"/>
      <c r="C4" s="38"/>
      <c r="D4" s="38"/>
      <c r="E4" s="38"/>
      <c r="F4" s="38"/>
      <c r="G4" s="38"/>
      <c r="H4" s="38"/>
    </row>
    <row r="5" spans="1:8" ht="74.25" customHeight="1">
      <c r="A5" s="31" t="s">
        <v>0</v>
      </c>
      <c r="B5" s="33" t="s">
        <v>1</v>
      </c>
      <c r="C5" s="31" t="s">
        <v>2</v>
      </c>
      <c r="D5" s="31" t="s">
        <v>11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1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5">
        <v>1</v>
      </c>
      <c r="B7" s="16" t="s">
        <v>24</v>
      </c>
      <c r="C7" s="15"/>
      <c r="D7" s="18">
        <v>0</v>
      </c>
      <c r="E7" s="18">
        <f>E8*0.0478-0.00368</f>
        <v>31.000834</v>
      </c>
      <c r="F7" s="24">
        <v>0</v>
      </c>
      <c r="G7" s="30">
        <f>G8*0.0478</f>
        <v>0</v>
      </c>
      <c r="H7" s="6">
        <f aca="true" t="shared" si="0" ref="H7:H13">G7/7401.05</f>
        <v>0</v>
      </c>
      <c r="J7" s="8"/>
    </row>
    <row r="8" spans="1:10" ht="15">
      <c r="A8" s="2">
        <v>2</v>
      </c>
      <c r="B8" s="3" t="s">
        <v>9</v>
      </c>
      <c r="C8" s="5"/>
      <c r="D8" s="6">
        <v>0</v>
      </c>
      <c r="E8" s="25">
        <f>442.52-73.6+258.01+21.7</f>
        <v>648.63</v>
      </c>
      <c r="F8" s="25">
        <v>0</v>
      </c>
      <c r="G8" s="25">
        <v>0</v>
      </c>
      <c r="H8" s="6">
        <f t="shared" si="0"/>
        <v>0</v>
      </c>
      <c r="J8" s="8"/>
    </row>
    <row r="9" spans="1:10" ht="15">
      <c r="A9" s="2">
        <v>3</v>
      </c>
      <c r="B9" s="3" t="s">
        <v>23</v>
      </c>
      <c r="C9" s="5" t="s">
        <v>46</v>
      </c>
      <c r="D9" s="25">
        <f>1632+38</f>
        <v>1670</v>
      </c>
      <c r="E9" s="25">
        <f>296.82-49.47+421.08+19.31</f>
        <v>687.7399999999999</v>
      </c>
      <c r="F9" s="25">
        <f>14.55+33.45</f>
        <v>48</v>
      </c>
      <c r="G9" s="25">
        <f>26.9234-0.0008</f>
        <v>26.9226</v>
      </c>
      <c r="H9" s="6">
        <f t="shared" si="0"/>
        <v>0.0036376730328804693</v>
      </c>
      <c r="J9" s="8"/>
    </row>
    <row r="10" spans="1:8" ht="15">
      <c r="A10" s="2">
        <v>4</v>
      </c>
      <c r="B10" s="3" t="s">
        <v>10</v>
      </c>
      <c r="C10" s="5"/>
      <c r="D10" s="5">
        <f>D8+D9</f>
        <v>1670</v>
      </c>
      <c r="E10" s="25">
        <f>443+549.56+18.67+305.85+3.95+8.86+6.48</f>
        <v>1336.37</v>
      </c>
      <c r="F10" s="30">
        <f>F8+F9</f>
        <v>48</v>
      </c>
      <c r="G10" s="25">
        <v>0</v>
      </c>
      <c r="H10" s="6">
        <f t="shared" si="0"/>
        <v>0</v>
      </c>
    </row>
    <row r="11" spans="1:8" ht="15">
      <c r="A11" s="35">
        <v>5</v>
      </c>
      <c r="B11" s="23" t="s">
        <v>31</v>
      </c>
      <c r="C11" s="5"/>
      <c r="D11" s="7">
        <f>17525</f>
        <v>17525</v>
      </c>
      <c r="E11" s="25">
        <f>11619</f>
        <v>11619</v>
      </c>
      <c r="F11" s="25">
        <f>763</f>
        <v>763</v>
      </c>
      <c r="G11" s="25">
        <f>D11-E11-F11</f>
        <v>5143</v>
      </c>
      <c r="H11" s="6">
        <f t="shared" si="0"/>
        <v>0.6949013991257997</v>
      </c>
    </row>
    <row r="12" spans="1:8" ht="15">
      <c r="A12" s="36"/>
      <c r="B12" s="23" t="s">
        <v>32</v>
      </c>
      <c r="C12" s="5"/>
      <c r="D12" s="7">
        <f>17225</f>
        <v>17225</v>
      </c>
      <c r="E12" s="25">
        <f>16932</f>
        <v>16932</v>
      </c>
      <c r="F12" s="25">
        <v>0</v>
      </c>
      <c r="G12" s="25">
        <f>D12-E12-F12+0.0001</f>
        <v>293.0001</v>
      </c>
      <c r="H12" s="6">
        <f t="shared" si="0"/>
        <v>0.03958899075131231</v>
      </c>
    </row>
    <row r="13" spans="1:8" ht="15">
      <c r="A13" s="37"/>
      <c r="B13" s="19" t="s">
        <v>14</v>
      </c>
      <c r="C13" s="19"/>
      <c r="D13" s="20">
        <f>SUM(D11:D12)</f>
        <v>34750</v>
      </c>
      <c r="E13" s="29">
        <f>SUM(E11:E12)</f>
        <v>28551</v>
      </c>
      <c r="F13" s="29">
        <f>SUM(F11:F12)</f>
        <v>763</v>
      </c>
      <c r="G13" s="29">
        <f>SUM(G11:G12)</f>
        <v>5436.0001</v>
      </c>
      <c r="H13" s="6">
        <f t="shared" si="0"/>
        <v>0.734490389877112</v>
      </c>
    </row>
    <row r="14" spans="1:8" ht="15">
      <c r="A14" s="1"/>
      <c r="B14" s="1"/>
      <c r="C14" s="1"/>
      <c r="D14" s="10"/>
      <c r="E14" s="10"/>
      <c r="F14" s="10"/>
      <c r="G14" s="10"/>
      <c r="H14" s="6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36.00390625" style="0" customWidth="1"/>
    <col min="4" max="4" width="15.57421875" style="0" customWidth="1"/>
    <col min="5" max="5" width="16.7109375" style="0" customWidth="1"/>
    <col min="6" max="6" width="15.28125" style="0" customWidth="1"/>
    <col min="7" max="7" width="12.57421875" style="0" customWidth="1"/>
    <col min="8" max="8" width="12.421875" style="0" customWidth="1"/>
    <col min="9" max="9" width="9.57421875" style="0" bestFit="1" customWidth="1"/>
  </cols>
  <sheetData>
    <row r="3" spans="2:3" ht="15.75">
      <c r="B3" s="12" t="s">
        <v>47</v>
      </c>
      <c r="C3" s="12"/>
    </row>
    <row r="4" spans="1:8" ht="15">
      <c r="A4" s="38" t="s">
        <v>8</v>
      </c>
      <c r="B4" s="38"/>
      <c r="C4" s="38"/>
      <c r="D4" s="38"/>
      <c r="E4" s="38"/>
      <c r="F4" s="38"/>
      <c r="G4" s="38"/>
      <c r="H4" s="38"/>
    </row>
    <row r="5" spans="1:8" ht="74.25" customHeight="1">
      <c r="A5" s="31" t="s">
        <v>0</v>
      </c>
      <c r="B5" s="33" t="s">
        <v>1</v>
      </c>
      <c r="C5" s="31" t="s">
        <v>2</v>
      </c>
      <c r="D5" s="31" t="s">
        <v>11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1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5">
        <v>1</v>
      </c>
      <c r="B7" s="16" t="s">
        <v>24</v>
      </c>
      <c r="C7" s="15"/>
      <c r="D7" s="18">
        <v>0</v>
      </c>
      <c r="E7" s="18">
        <f>E8*0.0478</f>
        <v>32.3638204772</v>
      </c>
      <c r="F7" s="24">
        <v>0</v>
      </c>
      <c r="G7" s="30">
        <f>G8*0.0478</f>
        <v>0</v>
      </c>
      <c r="H7" s="6">
        <f>G7/7401.15</f>
        <v>0</v>
      </c>
      <c r="J7" s="8"/>
    </row>
    <row r="8" spans="1:10" ht="15">
      <c r="A8" s="2">
        <v>2</v>
      </c>
      <c r="B8" s="3" t="s">
        <v>9</v>
      </c>
      <c r="C8" s="5"/>
      <c r="D8" s="6">
        <v>0</v>
      </c>
      <c r="E8" s="25">
        <f>414.2806-68.903226+312.17+19.52</f>
        <v>677.067374</v>
      </c>
      <c r="F8" s="25">
        <v>0</v>
      </c>
      <c r="G8" s="25">
        <v>0</v>
      </c>
      <c r="H8" s="6">
        <f aca="true" t="shared" si="0" ref="H8:H13">G8/7401.15</f>
        <v>0</v>
      </c>
      <c r="J8" s="8"/>
    </row>
    <row r="9" spans="1:10" ht="15">
      <c r="A9" s="2">
        <v>3</v>
      </c>
      <c r="B9" s="3" t="s">
        <v>23</v>
      </c>
      <c r="C9" s="5" t="s">
        <v>48</v>
      </c>
      <c r="D9" s="25">
        <f>1935+40</f>
        <v>1975</v>
      </c>
      <c r="E9" s="25">
        <f>308.46-51.41+458.05+15.27-0.0003</f>
        <v>730.3696999999999</v>
      </c>
      <c r="F9" s="25">
        <f>14.55+26.45</f>
        <v>41</v>
      </c>
      <c r="G9" s="25">
        <f>26.9234-0.0005</f>
        <v>26.922900000000002</v>
      </c>
      <c r="H9" s="6">
        <f t="shared" si="0"/>
        <v>0.003637664417016275</v>
      </c>
      <c r="J9" s="8"/>
    </row>
    <row r="10" spans="1:8" ht="15">
      <c r="A10" s="2">
        <v>4</v>
      </c>
      <c r="B10" s="3" t="s">
        <v>10</v>
      </c>
      <c r="C10" s="5"/>
      <c r="D10" s="5">
        <f>D8+D9</f>
        <v>1975</v>
      </c>
      <c r="E10" s="25">
        <f>453.9944+655.24+21.6+261.1326+0.3913+8.86+6.22</f>
        <v>1407.4383</v>
      </c>
      <c r="F10" s="30">
        <f>F8+F9</f>
        <v>41</v>
      </c>
      <c r="G10" s="25">
        <v>0</v>
      </c>
      <c r="H10" s="6">
        <f t="shared" si="0"/>
        <v>0</v>
      </c>
    </row>
    <row r="11" spans="1:8" ht="15">
      <c r="A11" s="35">
        <v>5</v>
      </c>
      <c r="B11" s="23" t="s">
        <v>31</v>
      </c>
      <c r="C11" s="5"/>
      <c r="D11" s="7">
        <f>20310</f>
        <v>20310</v>
      </c>
      <c r="E11" s="25">
        <f>8611</f>
        <v>8611</v>
      </c>
      <c r="F11" s="25">
        <f>1010</f>
        <v>1010</v>
      </c>
      <c r="G11" s="25">
        <f>D11-E11-F11-0.0004</f>
        <v>10688.9996</v>
      </c>
      <c r="H11" s="6">
        <f t="shared" si="0"/>
        <v>1.4442349634854044</v>
      </c>
    </row>
    <row r="12" spans="1:8" ht="15">
      <c r="A12" s="36"/>
      <c r="B12" s="23" t="s">
        <v>32</v>
      </c>
      <c r="C12" s="5"/>
      <c r="D12" s="7">
        <f>16250</f>
        <v>16250</v>
      </c>
      <c r="E12" s="25">
        <f>24173</f>
        <v>24173</v>
      </c>
      <c r="F12" s="25">
        <v>0</v>
      </c>
      <c r="G12" s="25">
        <f>D12-E12-F12+0.0003</f>
        <v>-7922.9997</v>
      </c>
      <c r="H12" s="6">
        <f t="shared" si="0"/>
        <v>-1.0705092722076976</v>
      </c>
    </row>
    <row r="13" spans="1:8" ht="15">
      <c r="A13" s="37"/>
      <c r="B13" s="19" t="s">
        <v>14</v>
      </c>
      <c r="C13" s="19"/>
      <c r="D13" s="20">
        <f>SUM(D11:D12)</f>
        <v>36560</v>
      </c>
      <c r="E13" s="29">
        <f>SUM(E11:E12)</f>
        <v>32784</v>
      </c>
      <c r="F13" s="29">
        <f>SUM(F11:F12)</f>
        <v>1010</v>
      </c>
      <c r="G13" s="29">
        <f>SUM(G11:G12)</f>
        <v>2765.999899999999</v>
      </c>
      <c r="H13" s="6">
        <f t="shared" si="0"/>
        <v>0.3737256912777067</v>
      </c>
    </row>
    <row r="14" spans="1:8" ht="15">
      <c r="A14" s="1"/>
      <c r="B14" s="1"/>
      <c r="C14" s="1"/>
      <c r="D14" s="10"/>
      <c r="E14" s="10"/>
      <c r="F14" s="10"/>
      <c r="G14" s="10"/>
      <c r="H14" s="6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36.00390625" style="0" customWidth="1"/>
    <col min="4" max="4" width="15.57421875" style="0" customWidth="1"/>
    <col min="5" max="5" width="16.7109375" style="0" customWidth="1"/>
    <col min="6" max="6" width="15.28125" style="0" customWidth="1"/>
    <col min="7" max="7" width="12.57421875" style="0" customWidth="1"/>
    <col min="8" max="8" width="12.421875" style="0" customWidth="1"/>
    <col min="9" max="9" width="9.57421875" style="0" bestFit="1" customWidth="1"/>
  </cols>
  <sheetData>
    <row r="3" spans="2:3" ht="15.75">
      <c r="B3" s="12" t="s">
        <v>49</v>
      </c>
      <c r="C3" s="12"/>
    </row>
    <row r="4" spans="1:8" ht="15">
      <c r="A4" s="38" t="s">
        <v>8</v>
      </c>
      <c r="B4" s="38"/>
      <c r="C4" s="38"/>
      <c r="D4" s="38"/>
      <c r="E4" s="38"/>
      <c r="F4" s="38"/>
      <c r="G4" s="38"/>
      <c r="H4" s="38"/>
    </row>
    <row r="5" spans="1:8" ht="74.25" customHeight="1">
      <c r="A5" s="31" t="s">
        <v>0</v>
      </c>
      <c r="B5" s="33" t="s">
        <v>1</v>
      </c>
      <c r="C5" s="31" t="s">
        <v>2</v>
      </c>
      <c r="D5" s="31" t="s">
        <v>11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1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5">
        <v>1</v>
      </c>
      <c r="B7" s="16" t="s">
        <v>24</v>
      </c>
      <c r="C7" s="15"/>
      <c r="D7" s="18">
        <v>0</v>
      </c>
      <c r="E7" s="18">
        <f>E8*0.0478</f>
        <v>32.5400060192</v>
      </c>
      <c r="F7" s="24">
        <v>0</v>
      </c>
      <c r="G7" s="25">
        <f>G8*0.0478</f>
        <v>0</v>
      </c>
      <c r="H7" s="6">
        <f aca="true" t="shared" si="0" ref="H7:H13">G7/7401.15</f>
        <v>0</v>
      </c>
      <c r="J7" s="8"/>
    </row>
    <row r="8" spans="1:10" ht="15">
      <c r="A8" s="2">
        <v>2</v>
      </c>
      <c r="B8" s="3" t="s">
        <v>9</v>
      </c>
      <c r="C8" s="5"/>
      <c r="D8" s="6">
        <v>0</v>
      </c>
      <c r="E8" s="25">
        <f>498.3852-142.141936+322.33+2.18</f>
        <v>680.753264</v>
      </c>
      <c r="F8" s="25">
        <v>0</v>
      </c>
      <c r="G8" s="25">
        <v>0</v>
      </c>
      <c r="H8" s="6">
        <f t="shared" si="0"/>
        <v>0</v>
      </c>
      <c r="J8" s="8"/>
    </row>
    <row r="9" spans="1:10" ht="15">
      <c r="A9" s="2">
        <v>3</v>
      </c>
      <c r="B9" s="3" t="s">
        <v>23</v>
      </c>
      <c r="C9" s="5" t="s">
        <v>50</v>
      </c>
      <c r="D9" s="25">
        <f>1724+40</f>
        <v>1764</v>
      </c>
      <c r="E9" s="25">
        <f>420.1039-120.029677+537.65+9.83-0.0001</f>
        <v>847.554123</v>
      </c>
      <c r="F9" s="25">
        <f>20.37+147.63</f>
        <v>168</v>
      </c>
      <c r="G9" s="25">
        <f>26.9234-0.0005</f>
        <v>26.922900000000002</v>
      </c>
      <c r="H9" s="6">
        <f t="shared" si="0"/>
        <v>0.003637664417016275</v>
      </c>
      <c r="J9" s="8"/>
    </row>
    <row r="10" spans="1:8" ht="15">
      <c r="A10" s="2">
        <v>4</v>
      </c>
      <c r="B10" s="3" t="s">
        <v>10</v>
      </c>
      <c r="C10" s="5"/>
      <c r="D10" s="5">
        <f>D8+D9</f>
        <v>1764</v>
      </c>
      <c r="E10" s="25">
        <f>522.79+685.57+76.45+211.6435+18.5238+11.6+1.73</f>
        <v>1528.3073</v>
      </c>
      <c r="F10" s="30">
        <f>F8+F9</f>
        <v>168</v>
      </c>
      <c r="G10" s="25">
        <v>0</v>
      </c>
      <c r="H10" s="6">
        <f>G10/7401.15</f>
        <v>0</v>
      </c>
    </row>
    <row r="11" spans="1:8" ht="15">
      <c r="A11" s="35">
        <v>5</v>
      </c>
      <c r="B11" s="23" t="s">
        <v>31</v>
      </c>
      <c r="C11" s="5"/>
      <c r="D11" s="7">
        <f>14380</f>
        <v>14380</v>
      </c>
      <c r="E11" s="25">
        <f>14400</f>
        <v>14400</v>
      </c>
      <c r="F11" s="25">
        <f>821</f>
        <v>821</v>
      </c>
      <c r="G11" s="25">
        <f>D11-E11-F11-0.0004</f>
        <v>-841.0004</v>
      </c>
      <c r="H11" s="6">
        <f t="shared" si="0"/>
        <v>-0.11363104382427056</v>
      </c>
    </row>
    <row r="12" spans="1:8" ht="15">
      <c r="A12" s="36"/>
      <c r="B12" s="23" t="s">
        <v>32</v>
      </c>
      <c r="C12" s="5"/>
      <c r="D12" s="7">
        <f>12155</f>
        <v>12155</v>
      </c>
      <c r="E12" s="25">
        <f>11152</f>
        <v>11152</v>
      </c>
      <c r="F12" s="25">
        <v>0</v>
      </c>
      <c r="G12" s="25">
        <f>D12-E12-0.0002</f>
        <v>1002.9998</v>
      </c>
      <c r="H12" s="6">
        <f t="shared" si="0"/>
        <v>0.13551945305797072</v>
      </c>
    </row>
    <row r="13" spans="1:8" ht="15">
      <c r="A13" s="37"/>
      <c r="B13" s="19" t="s">
        <v>14</v>
      </c>
      <c r="C13" s="19"/>
      <c r="D13" s="20">
        <f>SUM(D11:D12)</f>
        <v>26535</v>
      </c>
      <c r="E13" s="29">
        <f>SUM(E11:E12)</f>
        <v>25552</v>
      </c>
      <c r="F13" s="29">
        <f>SUM(F11:F12)</f>
        <v>821</v>
      </c>
      <c r="G13" s="29">
        <f>SUM(G11:G12)</f>
        <v>161.99940000000004</v>
      </c>
      <c r="H13" s="6">
        <f t="shared" si="0"/>
        <v>0.021888409233700175</v>
      </c>
    </row>
    <row r="14" spans="1:8" ht="15">
      <c r="A14" s="1"/>
      <c r="B14" s="1"/>
      <c r="C14" s="1"/>
      <c r="D14" s="10"/>
      <c r="E14" s="10"/>
      <c r="F14" s="10"/>
      <c r="G14" s="10"/>
      <c r="H14" s="6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22.00390625" style="0" customWidth="1"/>
    <col min="4" max="4" width="16.57421875" style="0" customWidth="1"/>
    <col min="5" max="5" width="16.140625" style="0" customWidth="1"/>
    <col min="6" max="6" width="15.57421875" style="0" customWidth="1"/>
    <col min="7" max="7" width="16.7109375" style="0" customWidth="1"/>
    <col min="8" max="8" width="15.28125" style="0" customWidth="1"/>
    <col min="9" max="9" width="12.57421875" style="0" customWidth="1"/>
    <col min="10" max="10" width="12.421875" style="0" customWidth="1"/>
    <col min="11" max="11" width="9.57421875" style="0" bestFit="1" customWidth="1"/>
  </cols>
  <sheetData>
    <row r="3" ht="15.75">
      <c r="C3" s="12" t="s">
        <v>27</v>
      </c>
    </row>
    <row r="4" spans="1:10" ht="15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74.25" customHeight="1">
      <c r="A5" s="31" t="s">
        <v>0</v>
      </c>
      <c r="B5" s="33" t="s">
        <v>1</v>
      </c>
      <c r="C5" s="31" t="s">
        <v>2</v>
      </c>
      <c r="D5" s="39" t="s">
        <v>7</v>
      </c>
      <c r="E5" s="40"/>
      <c r="F5" s="31" t="s">
        <v>11</v>
      </c>
      <c r="G5" s="31" t="s">
        <v>3</v>
      </c>
      <c r="H5" s="31" t="s">
        <v>4</v>
      </c>
      <c r="I5" s="31" t="s">
        <v>5</v>
      </c>
      <c r="J5" s="33" t="s">
        <v>6</v>
      </c>
    </row>
    <row r="6" spans="1:10" ht="15.75">
      <c r="A6" s="32"/>
      <c r="B6" s="34"/>
      <c r="C6" s="32"/>
      <c r="D6" s="13" t="s">
        <v>12</v>
      </c>
      <c r="E6" s="14" t="s">
        <v>13</v>
      </c>
      <c r="F6" s="32"/>
      <c r="G6" s="32"/>
      <c r="H6" s="32"/>
      <c r="I6" s="32"/>
      <c r="J6" s="34"/>
    </row>
    <row r="7" spans="1:12" ht="15">
      <c r="A7" s="15">
        <v>1</v>
      </c>
      <c r="B7" s="16" t="s">
        <v>24</v>
      </c>
      <c r="C7" s="15"/>
      <c r="D7" s="17"/>
      <c r="E7" s="15"/>
      <c r="F7" s="18">
        <v>0</v>
      </c>
      <c r="G7" s="18">
        <f>G8*0.0478</f>
        <v>24.72673924</v>
      </c>
      <c r="H7" s="18">
        <v>0</v>
      </c>
      <c r="I7" s="5">
        <f>F7-G7-H7</f>
        <v>-24.72673924</v>
      </c>
      <c r="J7" s="6">
        <f>I7/7426.75</f>
        <v>-0.0033294158602349615</v>
      </c>
      <c r="L7" s="8"/>
    </row>
    <row r="8" spans="1:12" ht="15">
      <c r="A8" s="2">
        <v>2</v>
      </c>
      <c r="B8" s="3" t="s">
        <v>9</v>
      </c>
      <c r="C8" s="5"/>
      <c r="D8" s="4"/>
      <c r="E8" s="4"/>
      <c r="F8" s="6">
        <v>0</v>
      </c>
      <c r="G8" s="5">
        <f>315.6258+187.87+13.8</f>
        <v>517.2958</v>
      </c>
      <c r="H8" s="5">
        <v>0</v>
      </c>
      <c r="I8" s="5">
        <v>0</v>
      </c>
      <c r="J8" s="6">
        <f aca="true" t="shared" si="0" ref="J8:J19">I8/7426.75</f>
        <v>0</v>
      </c>
      <c r="L8" s="8"/>
    </row>
    <row r="9" spans="1:12" ht="15">
      <c r="A9" s="2">
        <v>3</v>
      </c>
      <c r="B9" s="3" t="s">
        <v>23</v>
      </c>
      <c r="C9" s="5" t="s">
        <v>28</v>
      </c>
      <c r="D9" s="4"/>
      <c r="E9" s="4"/>
      <c r="F9" s="5">
        <f>1678+32</f>
        <v>1710</v>
      </c>
      <c r="G9" s="5">
        <f>299.2919+498.67+28.29</f>
        <v>826.2519</v>
      </c>
      <c r="H9" s="5">
        <f>37</f>
        <v>37</v>
      </c>
      <c r="I9" s="5">
        <f>24.3342</f>
        <v>24.3342</v>
      </c>
      <c r="J9" s="6">
        <f t="shared" si="0"/>
        <v>0.0032765610798801627</v>
      </c>
      <c r="L9" s="8"/>
    </row>
    <row r="10" spans="1:10" ht="15">
      <c r="A10" s="2">
        <v>4</v>
      </c>
      <c r="B10" s="3" t="s">
        <v>10</v>
      </c>
      <c r="C10" s="5"/>
      <c r="D10" s="4"/>
      <c r="E10" s="4"/>
      <c r="F10" s="5">
        <f>F8+F9</f>
        <v>1710</v>
      </c>
      <c r="G10" s="5">
        <f>546.7477+641.39+27.5+127.18+0.73</f>
        <v>1343.5477</v>
      </c>
      <c r="H10" s="5">
        <f>H8+H9</f>
        <v>37</v>
      </c>
      <c r="I10" s="5">
        <v>0</v>
      </c>
      <c r="J10" s="6">
        <f t="shared" si="0"/>
        <v>0</v>
      </c>
    </row>
    <row r="11" spans="1:10" ht="15">
      <c r="A11" s="35">
        <v>5</v>
      </c>
      <c r="B11" s="3" t="s">
        <v>15</v>
      </c>
      <c r="C11" s="5"/>
      <c r="D11" s="9">
        <v>68224</v>
      </c>
      <c r="E11" s="9">
        <v>69981</v>
      </c>
      <c r="F11" s="6">
        <f>(E11-D11)*1</f>
        <v>1757</v>
      </c>
      <c r="G11" s="5">
        <v>0</v>
      </c>
      <c r="H11" s="5">
        <v>0</v>
      </c>
      <c r="I11" s="5">
        <f aca="true" t="shared" si="1" ref="I11:I16">F11-G11-H11</f>
        <v>1757</v>
      </c>
      <c r="J11" s="6">
        <f t="shared" si="0"/>
        <v>0.23657723768808697</v>
      </c>
    </row>
    <row r="12" spans="1:10" ht="15">
      <c r="A12" s="36"/>
      <c r="B12" s="3" t="s">
        <v>16</v>
      </c>
      <c r="C12" s="5"/>
      <c r="D12" s="9">
        <v>83178</v>
      </c>
      <c r="E12" s="9">
        <v>83354</v>
      </c>
      <c r="F12" s="6">
        <f>(E12-D12)*1</f>
        <v>176</v>
      </c>
      <c r="G12" s="5">
        <v>0</v>
      </c>
      <c r="H12" s="5">
        <v>0</v>
      </c>
      <c r="I12" s="5">
        <f t="shared" si="1"/>
        <v>176</v>
      </c>
      <c r="J12" s="6">
        <f t="shared" si="0"/>
        <v>0.023698118288618845</v>
      </c>
    </row>
    <row r="13" spans="1:10" ht="15">
      <c r="A13" s="36"/>
      <c r="B13" s="3" t="s">
        <v>17</v>
      </c>
      <c r="C13" s="5"/>
      <c r="D13" s="9">
        <v>22689</v>
      </c>
      <c r="E13" s="9">
        <v>22998</v>
      </c>
      <c r="F13" s="6">
        <f>(E13-D13)*15</f>
        <v>4635</v>
      </c>
      <c r="G13" s="5">
        <v>0</v>
      </c>
      <c r="H13" s="5">
        <v>0</v>
      </c>
      <c r="I13" s="5">
        <f t="shared" si="1"/>
        <v>4635</v>
      </c>
      <c r="J13" s="6">
        <f t="shared" si="0"/>
        <v>0.624095331066752</v>
      </c>
    </row>
    <row r="14" spans="1:10" ht="15">
      <c r="A14" s="36"/>
      <c r="B14" s="3" t="s">
        <v>18</v>
      </c>
      <c r="C14" s="5"/>
      <c r="D14" s="9">
        <v>21770</v>
      </c>
      <c r="E14" s="9">
        <v>21850</v>
      </c>
      <c r="F14" s="6">
        <f>(E14-D14)*15</f>
        <v>1200</v>
      </c>
      <c r="G14" s="5">
        <v>0</v>
      </c>
      <c r="H14" s="5">
        <v>0</v>
      </c>
      <c r="I14" s="5">
        <f t="shared" si="1"/>
        <v>1200</v>
      </c>
      <c r="J14" s="6">
        <f t="shared" si="0"/>
        <v>0.16157807924058304</v>
      </c>
    </row>
    <row r="15" spans="1:10" ht="15">
      <c r="A15" s="36"/>
      <c r="B15" s="3" t="s">
        <v>19</v>
      </c>
      <c r="C15" s="5"/>
      <c r="D15" s="9">
        <v>8954</v>
      </c>
      <c r="E15" s="9">
        <v>9075</v>
      </c>
      <c r="F15" s="6">
        <f>(E15-D15)*20</f>
        <v>2420</v>
      </c>
      <c r="G15" s="5">
        <v>0</v>
      </c>
      <c r="H15" s="5">
        <v>0</v>
      </c>
      <c r="I15" s="5">
        <f t="shared" si="1"/>
        <v>2420</v>
      </c>
      <c r="J15" s="6">
        <f t="shared" si="0"/>
        <v>0.3258491264685091</v>
      </c>
    </row>
    <row r="16" spans="1:10" ht="15">
      <c r="A16" s="36"/>
      <c r="B16" s="3" t="s">
        <v>20</v>
      </c>
      <c r="C16" s="5"/>
      <c r="D16" s="9">
        <v>10163</v>
      </c>
      <c r="E16" s="9">
        <v>10196</v>
      </c>
      <c r="F16" s="6">
        <f>(E16-D16)*20</f>
        <v>660</v>
      </c>
      <c r="G16" s="5">
        <v>0</v>
      </c>
      <c r="H16" s="5">
        <v>0</v>
      </c>
      <c r="I16" s="5">
        <f t="shared" si="1"/>
        <v>660</v>
      </c>
      <c r="J16" s="6">
        <f t="shared" si="0"/>
        <v>0.08886794358232067</v>
      </c>
    </row>
    <row r="17" spans="1:12" ht="15">
      <c r="A17" s="37"/>
      <c r="B17" s="19" t="s">
        <v>14</v>
      </c>
      <c r="C17" s="19"/>
      <c r="D17" s="7"/>
      <c r="E17" s="19"/>
      <c r="F17" s="20">
        <f>SUM(F11:F16)</f>
        <v>10848</v>
      </c>
      <c r="G17" s="20">
        <f>SUM(G11:G16)</f>
        <v>0</v>
      </c>
      <c r="H17" s="20">
        <f>SUM(H11:H16)</f>
        <v>0</v>
      </c>
      <c r="I17" s="20">
        <f>SUM(I11:I16)</f>
        <v>10848</v>
      </c>
      <c r="J17" s="6">
        <f t="shared" si="0"/>
        <v>1.4606658363348706</v>
      </c>
      <c r="K17" s="11"/>
      <c r="L17" s="8"/>
    </row>
    <row r="18" spans="1:12" ht="15">
      <c r="A18" s="1"/>
      <c r="B18" s="1"/>
      <c r="C18" s="1"/>
      <c r="D18" s="1"/>
      <c r="E18" s="1" t="s">
        <v>21</v>
      </c>
      <c r="F18" s="21">
        <f aca="true" t="shared" si="2" ref="F18:I19">F11+F13+F15</f>
        <v>8812</v>
      </c>
      <c r="G18" s="21">
        <f t="shared" si="2"/>
        <v>0</v>
      </c>
      <c r="H18" s="21">
        <f t="shared" si="2"/>
        <v>0</v>
      </c>
      <c r="I18" s="21">
        <f t="shared" si="2"/>
        <v>8812</v>
      </c>
      <c r="J18" s="6">
        <f t="shared" si="0"/>
        <v>1.186521695223348</v>
      </c>
      <c r="K18" s="11"/>
      <c r="L18" s="8"/>
    </row>
    <row r="19" spans="1:10" ht="15">
      <c r="A19" s="1"/>
      <c r="B19" s="1"/>
      <c r="C19" s="1"/>
      <c r="D19" s="1"/>
      <c r="E19" s="1" t="s">
        <v>22</v>
      </c>
      <c r="F19" s="10">
        <f t="shared" si="2"/>
        <v>2036</v>
      </c>
      <c r="G19" s="10">
        <f t="shared" si="2"/>
        <v>0</v>
      </c>
      <c r="H19" s="10">
        <f t="shared" si="2"/>
        <v>0</v>
      </c>
      <c r="I19" s="10">
        <f t="shared" si="2"/>
        <v>2036</v>
      </c>
      <c r="J19" s="6">
        <f t="shared" si="0"/>
        <v>0.2741441411115225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sheetProtection/>
  <mergeCells count="11">
    <mergeCell ref="A11:A17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7" sqref="C7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22.00390625" style="0" customWidth="1"/>
    <col min="4" max="4" width="15.57421875" style="0" customWidth="1"/>
    <col min="5" max="5" width="16.7109375" style="0" customWidth="1"/>
    <col min="6" max="6" width="15.28125" style="0" customWidth="1"/>
    <col min="7" max="7" width="12.57421875" style="0" customWidth="1"/>
    <col min="8" max="8" width="12.421875" style="0" customWidth="1"/>
    <col min="9" max="9" width="9.57421875" style="0" bestFit="1" customWidth="1"/>
  </cols>
  <sheetData>
    <row r="3" spans="2:3" ht="15.75">
      <c r="B3" s="12" t="s">
        <v>29</v>
      </c>
      <c r="C3" s="12"/>
    </row>
    <row r="4" spans="1:8" ht="15">
      <c r="A4" s="38" t="s">
        <v>8</v>
      </c>
      <c r="B4" s="38"/>
      <c r="C4" s="38"/>
      <c r="D4" s="38"/>
      <c r="E4" s="38"/>
      <c r="F4" s="38"/>
      <c r="G4" s="38"/>
      <c r="H4" s="38"/>
    </row>
    <row r="5" spans="1:8" ht="74.25" customHeight="1">
      <c r="A5" s="31" t="s">
        <v>0</v>
      </c>
      <c r="B5" s="33" t="s">
        <v>1</v>
      </c>
      <c r="C5" s="31" t="s">
        <v>2</v>
      </c>
      <c r="D5" s="31" t="s">
        <v>11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1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5">
        <v>1</v>
      </c>
      <c r="B7" s="16" t="s">
        <v>24</v>
      </c>
      <c r="C7" s="15"/>
      <c r="D7" s="18">
        <v>0</v>
      </c>
      <c r="E7" s="18">
        <v>0</v>
      </c>
      <c r="F7" s="18">
        <v>0</v>
      </c>
      <c r="G7" s="5">
        <f>D7-E7-F7</f>
        <v>0</v>
      </c>
      <c r="H7" s="6">
        <f>G7/7426.75</f>
        <v>0</v>
      </c>
      <c r="J7" s="8"/>
    </row>
    <row r="8" spans="1:10" ht="15">
      <c r="A8" s="2">
        <v>2</v>
      </c>
      <c r="B8" s="3" t="s">
        <v>9</v>
      </c>
      <c r="C8" s="5"/>
      <c r="D8" s="6">
        <v>0</v>
      </c>
      <c r="E8" s="5">
        <f>303.156+342.94+20.78</f>
        <v>666.876</v>
      </c>
      <c r="F8" s="5">
        <v>0</v>
      </c>
      <c r="G8" s="5">
        <v>0</v>
      </c>
      <c r="H8" s="6">
        <f aca="true" t="shared" si="0" ref="H8:H13">G8/7426.75</f>
        <v>0</v>
      </c>
      <c r="J8" s="8"/>
    </row>
    <row r="9" spans="1:10" ht="15">
      <c r="A9" s="2">
        <v>3</v>
      </c>
      <c r="B9" s="3" t="s">
        <v>23</v>
      </c>
      <c r="C9" s="5" t="s">
        <v>30</v>
      </c>
      <c r="D9" s="5">
        <f>1744+31</f>
        <v>1775</v>
      </c>
      <c r="E9" s="5">
        <f>297.4667+482.82+25.73</f>
        <v>806.0167</v>
      </c>
      <c r="F9" s="5">
        <f>35</f>
        <v>35</v>
      </c>
      <c r="G9" s="5">
        <v>26.9234</v>
      </c>
      <c r="H9" s="6">
        <f t="shared" si="0"/>
        <v>0.0036251927155215944</v>
      </c>
      <c r="J9" s="8"/>
    </row>
    <row r="10" spans="1:8" ht="15">
      <c r="A10" s="2">
        <v>4</v>
      </c>
      <c r="B10" s="3" t="s">
        <v>10</v>
      </c>
      <c r="C10" s="5"/>
      <c r="D10" s="5">
        <f>D8+D9</f>
        <v>1775</v>
      </c>
      <c r="E10" s="5">
        <f>525.6933+781.94+24.3+146.328+0.938</f>
        <v>1479.1993</v>
      </c>
      <c r="F10" s="5">
        <f>F8+F9</f>
        <v>35</v>
      </c>
      <c r="G10" s="5">
        <v>0</v>
      </c>
      <c r="H10" s="6">
        <f t="shared" si="0"/>
        <v>0</v>
      </c>
    </row>
    <row r="11" spans="1:8" ht="15">
      <c r="A11" s="35">
        <v>5</v>
      </c>
      <c r="B11" s="22" t="s">
        <v>31</v>
      </c>
      <c r="C11" s="5"/>
      <c r="D11" s="6">
        <f>20305</f>
        <v>20305</v>
      </c>
      <c r="E11" s="5">
        <v>13899</v>
      </c>
      <c r="F11" s="5">
        <v>711</v>
      </c>
      <c r="G11" s="5">
        <f>D11-E11-F11</f>
        <v>5695</v>
      </c>
      <c r="H11" s="6">
        <f t="shared" si="0"/>
        <v>0.7668226343959336</v>
      </c>
    </row>
    <row r="12" spans="1:8" ht="15">
      <c r="A12" s="36"/>
      <c r="B12" s="22" t="s">
        <v>32</v>
      </c>
      <c r="C12" s="5"/>
      <c r="D12" s="6">
        <v>18075</v>
      </c>
      <c r="E12" s="5">
        <v>6673</v>
      </c>
      <c r="F12" s="5">
        <v>0</v>
      </c>
      <c r="G12" s="5">
        <f>3482.2732+438.2271</f>
        <v>3920.5003</v>
      </c>
      <c r="H12" s="6">
        <f t="shared" si="0"/>
        <v>0.5278890901134413</v>
      </c>
    </row>
    <row r="13" spans="1:8" ht="15">
      <c r="A13" s="37"/>
      <c r="B13" s="19" t="s">
        <v>14</v>
      </c>
      <c r="C13" s="19"/>
      <c r="D13" s="20">
        <f>SUM(D11:D12)</f>
        <v>38380</v>
      </c>
      <c r="E13" s="20">
        <f>SUM(E11:E12)</f>
        <v>20572</v>
      </c>
      <c r="F13" s="20">
        <f>SUM(F11:F12)</f>
        <v>711</v>
      </c>
      <c r="G13" s="20">
        <f>SUM(G11:G12)</f>
        <v>9615.5003</v>
      </c>
      <c r="H13" s="6">
        <f t="shared" si="0"/>
        <v>1.2947117245093749</v>
      </c>
    </row>
    <row r="14" spans="1:8" ht="15">
      <c r="A14" s="1"/>
      <c r="B14" s="1"/>
      <c r="C14" s="1"/>
      <c r="D14" s="10"/>
      <c r="E14" s="10"/>
      <c r="F14" s="10"/>
      <c r="G14" s="10"/>
      <c r="H14" s="6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22.00390625" style="0" customWidth="1"/>
    <col min="4" max="4" width="15.57421875" style="0" customWidth="1"/>
    <col min="5" max="5" width="16.7109375" style="0" customWidth="1"/>
    <col min="6" max="6" width="15.28125" style="0" customWidth="1"/>
    <col min="7" max="7" width="12.57421875" style="0" customWidth="1"/>
    <col min="8" max="8" width="12.421875" style="0" customWidth="1"/>
    <col min="9" max="9" width="9.57421875" style="0" bestFit="1" customWidth="1"/>
  </cols>
  <sheetData>
    <row r="3" spans="2:3" ht="15.75">
      <c r="B3" s="12" t="s">
        <v>33</v>
      </c>
      <c r="C3" s="12"/>
    </row>
    <row r="4" spans="1:8" ht="15">
      <c r="A4" s="38" t="s">
        <v>8</v>
      </c>
      <c r="B4" s="38"/>
      <c r="C4" s="38"/>
      <c r="D4" s="38"/>
      <c r="E4" s="38"/>
      <c r="F4" s="38"/>
      <c r="G4" s="38"/>
      <c r="H4" s="38"/>
    </row>
    <row r="5" spans="1:8" ht="74.25" customHeight="1">
      <c r="A5" s="31" t="s">
        <v>0</v>
      </c>
      <c r="B5" s="33" t="s">
        <v>1</v>
      </c>
      <c r="C5" s="31" t="s">
        <v>2</v>
      </c>
      <c r="D5" s="31" t="s">
        <v>11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1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5">
        <v>1</v>
      </c>
      <c r="B7" s="16" t="s">
        <v>24</v>
      </c>
      <c r="C7" s="15"/>
      <c r="D7" s="18">
        <f>137.51</f>
        <v>137.51</v>
      </c>
      <c r="E7" s="18">
        <f>E8*0.0478</f>
        <v>33.43889152</v>
      </c>
      <c r="F7" s="18">
        <f>0.43</f>
        <v>0.43</v>
      </c>
      <c r="G7" s="5">
        <f>26.9234*0.0478</f>
        <v>1.28693852</v>
      </c>
      <c r="H7" s="6">
        <f>G7/7401.05</f>
        <v>0.0001738859378061221</v>
      </c>
      <c r="J7" s="8"/>
    </row>
    <row r="8" spans="1:10" ht="15">
      <c r="A8" s="2">
        <v>2</v>
      </c>
      <c r="B8" s="3" t="s">
        <v>9</v>
      </c>
      <c r="C8" s="5"/>
      <c r="D8" s="6">
        <f>429.71</f>
        <v>429.71</v>
      </c>
      <c r="E8" s="5">
        <f>291.0484+398.19+10.32</f>
        <v>699.5584</v>
      </c>
      <c r="F8" s="5">
        <f>7.15</f>
        <v>7.15</v>
      </c>
      <c r="G8" s="5">
        <f>-250.5675</f>
        <v>-250.5675</v>
      </c>
      <c r="H8" s="6">
        <f aca="true" t="shared" si="0" ref="H8:H13">G8/7401.05</f>
        <v>-0.03385566912802913</v>
      </c>
      <c r="J8" s="8"/>
    </row>
    <row r="9" spans="1:10" ht="15">
      <c r="A9" s="2">
        <v>3</v>
      </c>
      <c r="B9" s="3" t="s">
        <v>23</v>
      </c>
      <c r="C9" s="5" t="s">
        <v>34</v>
      </c>
      <c r="D9" s="5">
        <f>428+8+1092+27</f>
        <v>1555</v>
      </c>
      <c r="E9" s="5">
        <f>305.55+488.43+36.14</f>
        <v>830.12</v>
      </c>
      <c r="F9" s="5">
        <f>40</f>
        <v>40</v>
      </c>
      <c r="G9" s="5">
        <f>26.9234</f>
        <v>26.9234</v>
      </c>
      <c r="H9" s="6">
        <f t="shared" si="0"/>
        <v>0.00363778112565109</v>
      </c>
      <c r="J9" s="8"/>
    </row>
    <row r="10" spans="1:8" ht="15">
      <c r="A10" s="2">
        <v>4</v>
      </c>
      <c r="B10" s="3" t="s">
        <v>10</v>
      </c>
      <c r="C10" s="5"/>
      <c r="D10" s="5">
        <f>D8+D9</f>
        <v>1984.71</v>
      </c>
      <c r="E10" s="5">
        <f>540.46+852.93+31.41+98.8271+2.5819</f>
        <v>1526.2089999999998</v>
      </c>
      <c r="F10" s="5">
        <f>47.15</f>
        <v>47.15</v>
      </c>
      <c r="G10" s="5">
        <v>0</v>
      </c>
      <c r="H10" s="6">
        <f t="shared" si="0"/>
        <v>0</v>
      </c>
    </row>
    <row r="11" spans="1:8" ht="15">
      <c r="A11" s="35">
        <v>5</v>
      </c>
      <c r="B11" s="23" t="s">
        <v>31</v>
      </c>
      <c r="C11" s="5"/>
      <c r="D11" s="7">
        <f>27575</f>
        <v>27575</v>
      </c>
      <c r="E11" s="5">
        <f>17364</f>
        <v>17364</v>
      </c>
      <c r="F11" s="5">
        <f>801</f>
        <v>801</v>
      </c>
      <c r="G11" s="5">
        <f>9373.9458</f>
        <v>9373.9458</v>
      </c>
      <c r="H11" s="6">
        <f t="shared" si="0"/>
        <v>1.266569716459151</v>
      </c>
    </row>
    <row r="12" spans="1:8" ht="15">
      <c r="A12" s="36"/>
      <c r="B12" s="23" t="s">
        <v>32</v>
      </c>
      <c r="C12" s="5"/>
      <c r="D12" s="7">
        <f>11045</f>
        <v>11045</v>
      </c>
      <c r="E12" s="5">
        <f>25539</f>
        <v>25539</v>
      </c>
      <c r="F12" s="5">
        <v>0</v>
      </c>
      <c r="G12" s="5">
        <f>-13600.9043</f>
        <v>-13600.9043</v>
      </c>
      <c r="H12" s="6">
        <f t="shared" si="0"/>
        <v>-1.8376992859121342</v>
      </c>
    </row>
    <row r="13" spans="1:8" ht="15">
      <c r="A13" s="37"/>
      <c r="B13" s="19" t="s">
        <v>14</v>
      </c>
      <c r="C13" s="19"/>
      <c r="D13" s="20">
        <f>SUM(D11:D12)</f>
        <v>38620</v>
      </c>
      <c r="E13" s="20">
        <f>SUM(E11:E12)</f>
        <v>42903</v>
      </c>
      <c r="F13" s="20">
        <f>SUM(F11:F12)</f>
        <v>801</v>
      </c>
      <c r="G13" s="20">
        <f>SUM(G11:G12)</f>
        <v>-4226.958500000001</v>
      </c>
      <c r="H13" s="6">
        <f t="shared" si="0"/>
        <v>-0.5711295694529831</v>
      </c>
    </row>
    <row r="14" spans="1:8" ht="15">
      <c r="A14" s="1"/>
      <c r="B14" s="1"/>
      <c r="C14" s="1"/>
      <c r="D14" s="10"/>
      <c r="E14" s="10"/>
      <c r="F14" s="10"/>
      <c r="G14" s="10"/>
      <c r="H14" s="6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11" sqref="G11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22.00390625" style="0" customWidth="1"/>
    <col min="4" max="4" width="15.57421875" style="0" customWidth="1"/>
    <col min="5" max="5" width="16.7109375" style="0" customWidth="1"/>
    <col min="6" max="6" width="15.28125" style="0" customWidth="1"/>
    <col min="7" max="7" width="12.57421875" style="0" customWidth="1"/>
    <col min="8" max="8" width="12.421875" style="0" customWidth="1"/>
    <col min="9" max="9" width="9.57421875" style="0" bestFit="1" customWidth="1"/>
  </cols>
  <sheetData>
    <row r="3" spans="2:3" ht="15.75">
      <c r="B3" s="12" t="s">
        <v>35</v>
      </c>
      <c r="C3" s="12"/>
    </row>
    <row r="4" spans="1:8" ht="15">
      <c r="A4" s="38" t="s">
        <v>8</v>
      </c>
      <c r="B4" s="38"/>
      <c r="C4" s="38"/>
      <c r="D4" s="38"/>
      <c r="E4" s="38"/>
      <c r="F4" s="38"/>
      <c r="G4" s="38"/>
      <c r="H4" s="38"/>
    </row>
    <row r="5" spans="1:8" ht="74.25" customHeight="1">
      <c r="A5" s="31" t="s">
        <v>0</v>
      </c>
      <c r="B5" s="33" t="s">
        <v>1</v>
      </c>
      <c r="C5" s="31" t="s">
        <v>2</v>
      </c>
      <c r="D5" s="31" t="s">
        <v>11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1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5">
        <v>1</v>
      </c>
      <c r="B7" s="16" t="s">
        <v>24</v>
      </c>
      <c r="C7" s="15"/>
      <c r="D7" s="18">
        <f>50.61</f>
        <v>50.61</v>
      </c>
      <c r="E7" s="18">
        <f>E8*0.0478-0.3852</f>
        <v>36.7247124</v>
      </c>
      <c r="F7" s="24">
        <f>F8*0.0478</f>
        <v>0.8474940000000001</v>
      </c>
      <c r="G7" s="25">
        <f>G8*0.0478+0.0007</f>
        <v>1.28760028</v>
      </c>
      <c r="H7" s="6">
        <f aca="true" t="shared" si="0" ref="H7:H13">G7/7401.05</f>
        <v>0.00017397535214597927</v>
      </c>
      <c r="J7" s="8"/>
    </row>
    <row r="8" spans="1:10" ht="15">
      <c r="A8" s="2">
        <v>2</v>
      </c>
      <c r="B8" s="3" t="s">
        <v>9</v>
      </c>
      <c r="C8" s="5"/>
      <c r="D8" s="6">
        <f>853.78</f>
        <v>853.78</v>
      </c>
      <c r="E8" s="25">
        <f>497.448-45.12+304.51+19.52</f>
        <v>776.358</v>
      </c>
      <c r="F8" s="25">
        <f>17.73</f>
        <v>17.73</v>
      </c>
      <c r="G8" s="25">
        <f>26.9226</f>
        <v>26.9226</v>
      </c>
      <c r="H8" s="6">
        <f t="shared" si="0"/>
        <v>0.0036376730328804693</v>
      </c>
      <c r="J8" s="8"/>
    </row>
    <row r="9" spans="1:10" ht="15">
      <c r="A9" s="2">
        <v>3</v>
      </c>
      <c r="B9" s="3" t="s">
        <v>23</v>
      </c>
      <c r="C9" s="5" t="s">
        <v>36</v>
      </c>
      <c r="D9" s="5">
        <f>912+30</f>
        <v>942</v>
      </c>
      <c r="E9" s="25">
        <f>338.8103-30.512+520.21+60.34</f>
        <v>888.8483</v>
      </c>
      <c r="F9" s="25">
        <f>115</f>
        <v>115</v>
      </c>
      <c r="G9" s="25">
        <f>-59.9465</f>
        <v>-59.9465</v>
      </c>
      <c r="H9" s="6">
        <f t="shared" si="0"/>
        <v>-0.008099729092493633</v>
      </c>
      <c r="J9" s="8"/>
    </row>
    <row r="10" spans="1:8" ht="15">
      <c r="A10" s="2">
        <v>4</v>
      </c>
      <c r="B10" s="3" t="s">
        <v>10</v>
      </c>
      <c r="C10" s="5"/>
      <c r="D10" s="5">
        <f>D8+D9</f>
        <v>1795.78</v>
      </c>
      <c r="E10" s="25">
        <f>567.5173-75.632+663.68+15.74+396.082+46.66+50.869+0.29</f>
        <v>1665.2062999999998</v>
      </c>
      <c r="F10" s="25">
        <f>F8+F9</f>
        <v>132.73</v>
      </c>
      <c r="G10" s="25">
        <v>0</v>
      </c>
      <c r="H10" s="6">
        <f t="shared" si="0"/>
        <v>0</v>
      </c>
    </row>
    <row r="11" spans="1:8" ht="15">
      <c r="A11" s="35">
        <v>5</v>
      </c>
      <c r="B11" s="23" t="s">
        <v>31</v>
      </c>
      <c r="C11" s="5"/>
      <c r="D11" s="7">
        <f>8085</f>
        <v>8085</v>
      </c>
      <c r="E11" s="5">
        <f>16685</f>
        <v>16685</v>
      </c>
      <c r="F11" s="5">
        <f>517</f>
        <v>517</v>
      </c>
      <c r="G11" s="5">
        <f>-7645.448</f>
        <v>-7645.448</v>
      </c>
      <c r="H11" s="6">
        <f t="shared" si="0"/>
        <v>-1.033022071192601</v>
      </c>
    </row>
    <row r="12" spans="1:8" ht="15">
      <c r="A12" s="36"/>
      <c r="B12" s="23" t="s">
        <v>32</v>
      </c>
      <c r="C12" s="5"/>
      <c r="D12" s="7">
        <f>14055</f>
        <v>14055</v>
      </c>
      <c r="E12" s="5">
        <f>8702.4</f>
        <v>8702.4</v>
      </c>
      <c r="F12" s="5">
        <v>0</v>
      </c>
      <c r="G12" s="5">
        <f>4082.9685</f>
        <v>4082.9685</v>
      </c>
      <c r="H12" s="6">
        <f t="shared" si="0"/>
        <v>0.5516742219009465</v>
      </c>
    </row>
    <row r="13" spans="1:8" ht="15">
      <c r="A13" s="37"/>
      <c r="B13" s="19" t="s">
        <v>14</v>
      </c>
      <c r="C13" s="19"/>
      <c r="D13" s="20">
        <f>SUM(D11:D12)</f>
        <v>22140</v>
      </c>
      <c r="E13" s="20">
        <f>SUM(E11:E12)</f>
        <v>25387.4</v>
      </c>
      <c r="F13" s="20">
        <f>SUM(F11:F12)</f>
        <v>517</v>
      </c>
      <c r="G13" s="20">
        <f>SUM(G11:G12)</f>
        <v>-3562.4795000000004</v>
      </c>
      <c r="H13" s="6">
        <f t="shared" si="0"/>
        <v>-0.4813478492916546</v>
      </c>
    </row>
    <row r="14" spans="1:8" ht="15">
      <c r="A14" s="1"/>
      <c r="B14" s="1"/>
      <c r="C14" s="1"/>
      <c r="D14" s="10"/>
      <c r="E14" s="10"/>
      <c r="F14" s="10"/>
      <c r="G14" s="10"/>
      <c r="H14" s="6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22.00390625" style="0" customWidth="1"/>
    <col min="4" max="4" width="15.57421875" style="0" customWidth="1"/>
    <col min="5" max="5" width="16.7109375" style="0" customWidth="1"/>
    <col min="6" max="6" width="15.28125" style="0" customWidth="1"/>
    <col min="7" max="7" width="12.57421875" style="0" customWidth="1"/>
    <col min="8" max="8" width="12.421875" style="0" customWidth="1"/>
    <col min="9" max="9" width="9.57421875" style="0" bestFit="1" customWidth="1"/>
  </cols>
  <sheetData>
    <row r="3" spans="2:3" ht="15.75">
      <c r="B3" s="12" t="s">
        <v>37</v>
      </c>
      <c r="C3" s="12"/>
    </row>
    <row r="4" spans="1:8" ht="15">
      <c r="A4" s="38" t="s">
        <v>8</v>
      </c>
      <c r="B4" s="38"/>
      <c r="C4" s="38"/>
      <c r="D4" s="38"/>
      <c r="E4" s="38"/>
      <c r="F4" s="38"/>
      <c r="G4" s="38"/>
      <c r="H4" s="38"/>
    </row>
    <row r="5" spans="1:8" ht="74.25" customHeight="1">
      <c r="A5" s="31" t="s">
        <v>0</v>
      </c>
      <c r="B5" s="33" t="s">
        <v>1</v>
      </c>
      <c r="C5" s="31" t="s">
        <v>2</v>
      </c>
      <c r="D5" s="31" t="s">
        <v>11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1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5">
        <v>1</v>
      </c>
      <c r="B7" s="16" t="s">
        <v>24</v>
      </c>
      <c r="C7" s="15"/>
      <c r="D7" s="18">
        <f>35.67</f>
        <v>35.67</v>
      </c>
      <c r="E7" s="26">
        <f>E8*0.0478-0.1364</f>
        <v>30.375205180000002</v>
      </c>
      <c r="F7" s="27">
        <f>F8*0.0478</f>
        <v>0.5692980000000001</v>
      </c>
      <c r="G7" s="28">
        <f>G8*0.0478+0.0007</f>
        <v>1.28760028</v>
      </c>
      <c r="H7" s="6">
        <f aca="true" t="shared" si="0" ref="H7:H13">G7/7401.05</f>
        <v>0.00017397535214597927</v>
      </c>
      <c r="J7" s="8"/>
    </row>
    <row r="8" spans="1:10" ht="15">
      <c r="A8" s="2">
        <v>2</v>
      </c>
      <c r="B8" s="3" t="s">
        <v>9</v>
      </c>
      <c r="C8" s="5"/>
      <c r="D8" s="6">
        <f>715.2</f>
        <v>715.2</v>
      </c>
      <c r="E8" s="28">
        <f>495.8955-82.4774+217.14+7.76</f>
        <v>638.3181</v>
      </c>
      <c r="F8" s="28">
        <f>11.91</f>
        <v>11.91</v>
      </c>
      <c r="G8" s="28">
        <f>26.9234-0.0008</f>
        <v>26.9226</v>
      </c>
      <c r="H8" s="6">
        <f t="shared" si="0"/>
        <v>0.0036376730328804693</v>
      </c>
      <c r="J8" s="8"/>
    </row>
    <row r="9" spans="1:10" ht="15">
      <c r="A9" s="2">
        <v>3</v>
      </c>
      <c r="B9" s="3" t="s">
        <v>23</v>
      </c>
      <c r="C9" s="5" t="s">
        <v>38</v>
      </c>
      <c r="D9" s="5">
        <f>823+30</f>
        <v>853</v>
      </c>
      <c r="E9" s="28">
        <f>334.9316-55.8219+474.18+40.67</f>
        <v>793.9597</v>
      </c>
      <c r="F9" s="28">
        <f>40</f>
        <v>40</v>
      </c>
      <c r="G9" s="28">
        <f>D9-E9-F9-0.0006</f>
        <v>19.039700000000003</v>
      </c>
      <c r="H9" s="6">
        <f t="shared" si="0"/>
        <v>0.0025725674059761793</v>
      </c>
      <c r="J9" s="8"/>
    </row>
    <row r="10" spans="1:8" ht="15">
      <c r="A10" s="2">
        <v>4</v>
      </c>
      <c r="B10" s="3" t="s">
        <v>10</v>
      </c>
      <c r="C10" s="5"/>
      <c r="D10" s="5">
        <f>D8+D9</f>
        <v>1568.2</v>
      </c>
      <c r="E10" s="25">
        <f>590.8686-138.2993+501.98+412.3184+50.16+8.86+6.39</f>
        <v>1432.2777</v>
      </c>
      <c r="F10" s="25">
        <f>F8+F9</f>
        <v>51.91</v>
      </c>
      <c r="G10" s="25">
        <v>0</v>
      </c>
      <c r="H10" s="6">
        <f t="shared" si="0"/>
        <v>0</v>
      </c>
    </row>
    <row r="11" spans="1:8" ht="15">
      <c r="A11" s="35">
        <v>5</v>
      </c>
      <c r="B11" s="23" t="s">
        <v>31</v>
      </c>
      <c r="C11" s="5"/>
      <c r="D11" s="7">
        <f>12045</f>
        <v>12045</v>
      </c>
      <c r="E11" s="5">
        <f>15984</f>
        <v>15984</v>
      </c>
      <c r="F11" s="5">
        <f>316</f>
        <v>316</v>
      </c>
      <c r="G11" s="28">
        <f>-3658.1959</f>
        <v>-3658.1959</v>
      </c>
      <c r="H11" s="6">
        <f t="shared" si="0"/>
        <v>-0.49428066287891587</v>
      </c>
    </row>
    <row r="12" spans="1:8" ht="15">
      <c r="A12" s="36"/>
      <c r="B12" s="23" t="s">
        <v>32</v>
      </c>
      <c r="C12" s="5"/>
      <c r="D12" s="7">
        <f>13020</f>
        <v>13020</v>
      </c>
      <c r="E12" s="5">
        <f>10144</f>
        <v>10144</v>
      </c>
      <c r="F12" s="5">
        <v>0</v>
      </c>
      <c r="G12" s="28">
        <f>2403.001</f>
        <v>2403.001</v>
      </c>
      <c r="H12" s="6">
        <f t="shared" si="0"/>
        <v>0.3246837948669446</v>
      </c>
    </row>
    <row r="13" spans="1:8" ht="15">
      <c r="A13" s="37"/>
      <c r="B13" s="19" t="s">
        <v>14</v>
      </c>
      <c r="C13" s="19"/>
      <c r="D13" s="20">
        <f>SUM(D11:D12)</f>
        <v>25065</v>
      </c>
      <c r="E13" s="20">
        <f>SUM(E11:E12)</f>
        <v>26128</v>
      </c>
      <c r="F13" s="20">
        <f>SUM(F11:F12)</f>
        <v>316</v>
      </c>
      <c r="G13" s="20">
        <f>SUM(G11:G12)</f>
        <v>-1255.1949</v>
      </c>
      <c r="H13" s="6">
        <f t="shared" si="0"/>
        <v>-0.16959686801197127</v>
      </c>
    </row>
    <row r="14" spans="1:8" ht="15">
      <c r="A14" s="1"/>
      <c r="B14" s="1"/>
      <c r="C14" s="1"/>
      <c r="D14" s="10"/>
      <c r="E14" s="10"/>
      <c r="F14" s="10"/>
      <c r="G14" s="10"/>
      <c r="H14" s="6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22.00390625" style="0" customWidth="1"/>
    <col min="4" max="4" width="15.57421875" style="0" customWidth="1"/>
    <col min="5" max="5" width="16.7109375" style="0" customWidth="1"/>
    <col min="6" max="6" width="15.28125" style="0" customWidth="1"/>
    <col min="7" max="7" width="12.57421875" style="0" customWidth="1"/>
    <col min="8" max="8" width="12.421875" style="0" customWidth="1"/>
    <col min="9" max="9" width="9.57421875" style="0" bestFit="1" customWidth="1"/>
  </cols>
  <sheetData>
    <row r="3" spans="2:3" ht="15.75">
      <c r="B3" s="12" t="s">
        <v>39</v>
      </c>
      <c r="C3" s="12"/>
    </row>
    <row r="4" spans="1:8" ht="15">
      <c r="A4" s="38" t="s">
        <v>8</v>
      </c>
      <c r="B4" s="38"/>
      <c r="C4" s="38"/>
      <c r="D4" s="38"/>
      <c r="E4" s="38"/>
      <c r="F4" s="38"/>
      <c r="G4" s="38"/>
      <c r="H4" s="38"/>
    </row>
    <row r="5" spans="1:8" ht="74.25" customHeight="1">
      <c r="A5" s="31" t="s">
        <v>0</v>
      </c>
      <c r="B5" s="33" t="s">
        <v>1</v>
      </c>
      <c r="C5" s="31" t="s">
        <v>2</v>
      </c>
      <c r="D5" s="31" t="s">
        <v>11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1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5">
        <v>1</v>
      </c>
      <c r="B7" s="16" t="s">
        <v>24</v>
      </c>
      <c r="C7" s="15"/>
      <c r="D7" s="18">
        <f>27.13</f>
        <v>27.13</v>
      </c>
      <c r="E7" s="18">
        <f>E8*0.0478-0.0039-0.0831</f>
        <v>29.602583799999998</v>
      </c>
      <c r="F7" s="24">
        <f>F8*0.0478</f>
        <v>0.4302</v>
      </c>
      <c r="G7" s="25">
        <f>D7-E7-F7+0.3877</f>
        <v>-2.515083799999999</v>
      </c>
      <c r="H7" s="6">
        <f aca="true" t="shared" si="0" ref="H7:H13">G7/7401.05</f>
        <v>-0.00033982797035555747</v>
      </c>
      <c r="J7" s="8"/>
    </row>
    <row r="8" spans="1:10" ht="15">
      <c r="A8" s="2">
        <v>2</v>
      </c>
      <c r="B8" s="3" t="s">
        <v>9</v>
      </c>
      <c r="C8" s="5"/>
      <c r="D8" s="6">
        <f>540.6</f>
        <v>540.6</v>
      </c>
      <c r="E8" s="25">
        <f>473.5523+218.67+7.66-78.7613</f>
        <v>621.121</v>
      </c>
      <c r="F8" s="25">
        <f>9</f>
        <v>9</v>
      </c>
      <c r="G8" s="25">
        <f>-76.652</f>
        <v>-76.652</v>
      </c>
      <c r="H8" s="6">
        <f t="shared" si="0"/>
        <v>-0.010356908816992184</v>
      </c>
      <c r="J8" s="8"/>
    </row>
    <row r="9" spans="1:10" ht="15">
      <c r="A9" s="2">
        <v>3</v>
      </c>
      <c r="B9" s="3" t="s">
        <v>23</v>
      </c>
      <c r="C9" s="5" t="s">
        <v>40</v>
      </c>
      <c r="D9" s="5">
        <f>361+800.241+33</f>
        <v>1194.241</v>
      </c>
      <c r="E9" s="25">
        <f>338.4987+448.46+39.42-56.4165-0.001</f>
        <v>769.9611999999998</v>
      </c>
      <c r="F9" s="25">
        <f>41</f>
        <v>41</v>
      </c>
      <c r="G9" s="25">
        <f>26.9234-0.0008</f>
        <v>26.9226</v>
      </c>
      <c r="H9" s="6">
        <f t="shared" si="0"/>
        <v>0.0036376730328804693</v>
      </c>
      <c r="J9" s="8"/>
    </row>
    <row r="10" spans="1:8" ht="15">
      <c r="A10" s="2">
        <v>4</v>
      </c>
      <c r="B10" s="3" t="s">
        <v>10</v>
      </c>
      <c r="C10" s="5"/>
      <c r="D10" s="5">
        <f>D8+D9</f>
        <v>1734.841</v>
      </c>
      <c r="E10" s="25">
        <f>491.9651+543.49+12.28+324.6781+4.0839+8.86+5.73</f>
        <v>1391.0871</v>
      </c>
      <c r="F10" s="25">
        <f>F8+F9</f>
        <v>50</v>
      </c>
      <c r="G10" s="25">
        <v>0</v>
      </c>
      <c r="H10" s="6">
        <f t="shared" si="0"/>
        <v>0</v>
      </c>
    </row>
    <row r="11" spans="1:8" ht="15">
      <c r="A11" s="35">
        <v>5</v>
      </c>
      <c r="B11" s="23" t="s">
        <v>31</v>
      </c>
      <c r="C11" s="5"/>
      <c r="D11" s="7">
        <f>12355</f>
        <v>12355</v>
      </c>
      <c r="E11" s="25">
        <f>17784</f>
        <v>17784</v>
      </c>
      <c r="F11" s="25">
        <f>398</f>
        <v>398</v>
      </c>
      <c r="G11" s="25">
        <f>-5152.1851</f>
        <v>-5152.1851</v>
      </c>
      <c r="H11" s="6">
        <f t="shared" si="0"/>
        <v>-0.6961424527600812</v>
      </c>
    </row>
    <row r="12" spans="1:8" ht="15">
      <c r="A12" s="36"/>
      <c r="B12" s="23" t="s">
        <v>32</v>
      </c>
      <c r="C12" s="5"/>
      <c r="D12" s="7">
        <f>14280</f>
        <v>14280</v>
      </c>
      <c r="E12" s="25">
        <f>10378</f>
        <v>10378</v>
      </c>
      <c r="F12" s="25">
        <v>0</v>
      </c>
      <c r="G12" s="25">
        <f>3356.4348</f>
        <v>3356.4348</v>
      </c>
      <c r="H12" s="6">
        <f t="shared" si="0"/>
        <v>0.45350792117334704</v>
      </c>
    </row>
    <row r="13" spans="1:8" ht="15">
      <c r="A13" s="37"/>
      <c r="B13" s="19" t="s">
        <v>14</v>
      </c>
      <c r="C13" s="19"/>
      <c r="D13" s="20">
        <f>SUM(D11:D12)</f>
        <v>26635</v>
      </c>
      <c r="E13" s="29">
        <f>SUM(E11:E12)</f>
        <v>28162</v>
      </c>
      <c r="F13" s="29">
        <f>SUM(F11:F12)</f>
        <v>398</v>
      </c>
      <c r="G13" s="29">
        <f>SUM(G11:G12)</f>
        <v>-1795.7502999999997</v>
      </c>
      <c r="H13" s="6">
        <f t="shared" si="0"/>
        <v>-0.24263453158673426</v>
      </c>
    </row>
    <row r="14" spans="1:8" ht="15">
      <c r="A14" s="1"/>
      <c r="B14" s="1"/>
      <c r="C14" s="1"/>
      <c r="D14" s="10"/>
      <c r="E14" s="10"/>
      <c r="F14" s="10"/>
      <c r="G14" s="10"/>
      <c r="H14" s="6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36.00390625" style="0" customWidth="1"/>
    <col min="4" max="4" width="15.57421875" style="0" customWidth="1"/>
    <col min="5" max="5" width="16.7109375" style="0" customWidth="1"/>
    <col min="6" max="6" width="15.28125" style="0" customWidth="1"/>
    <col min="7" max="7" width="12.57421875" style="0" customWidth="1"/>
    <col min="8" max="8" width="12.421875" style="0" customWidth="1"/>
    <col min="9" max="9" width="9.57421875" style="0" bestFit="1" customWidth="1"/>
  </cols>
  <sheetData>
    <row r="3" spans="2:3" ht="15.75">
      <c r="B3" s="12" t="s">
        <v>41</v>
      </c>
      <c r="C3" s="12"/>
    </row>
    <row r="4" spans="1:8" ht="15">
      <c r="A4" s="38" t="s">
        <v>8</v>
      </c>
      <c r="B4" s="38"/>
      <c r="C4" s="38"/>
      <c r="D4" s="38"/>
      <c r="E4" s="38"/>
      <c r="F4" s="38"/>
      <c r="G4" s="38"/>
      <c r="H4" s="38"/>
    </row>
    <row r="5" spans="1:8" ht="74.25" customHeight="1">
      <c r="A5" s="31" t="s">
        <v>0</v>
      </c>
      <c r="B5" s="33" t="s">
        <v>1</v>
      </c>
      <c r="C5" s="31" t="s">
        <v>2</v>
      </c>
      <c r="D5" s="31" t="s">
        <v>11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1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5">
        <v>1</v>
      </c>
      <c r="B7" s="16" t="s">
        <v>24</v>
      </c>
      <c r="C7" s="15"/>
      <c r="D7" s="18">
        <f>41.55</f>
        <v>41.55</v>
      </c>
      <c r="E7" s="18">
        <f>E8*0.0478+0.1807</f>
        <v>30.233785257400005</v>
      </c>
      <c r="F7" s="24">
        <f>F8*0.0478</f>
        <v>0.191678</v>
      </c>
      <c r="G7" s="25">
        <f>G8*0.0478+0.0007</f>
        <v>1.28760028</v>
      </c>
      <c r="H7" s="6">
        <f aca="true" t="shared" si="0" ref="H7:H13">G7/7401.05</f>
        <v>0.00017397535214597927</v>
      </c>
      <c r="J7" s="8"/>
    </row>
    <row r="8" spans="1:10" ht="15">
      <c r="A8" s="2">
        <v>2</v>
      </c>
      <c r="B8" s="3" t="s">
        <v>9</v>
      </c>
      <c r="C8" s="5"/>
      <c r="D8" s="6">
        <f>791.5</f>
        <v>791.5</v>
      </c>
      <c r="E8" s="25">
        <f>482.1223-80.186667+190.67+36.12</f>
        <v>628.725633</v>
      </c>
      <c r="F8" s="25">
        <f>4.01</f>
        <v>4.01</v>
      </c>
      <c r="G8" s="25">
        <f>26.9234-0.0008</f>
        <v>26.9226</v>
      </c>
      <c r="H8" s="6">
        <f t="shared" si="0"/>
        <v>0.0036376730328804693</v>
      </c>
      <c r="J8" s="8"/>
    </row>
    <row r="9" spans="1:10" ht="15">
      <c r="A9" s="2">
        <v>3</v>
      </c>
      <c r="B9" s="3" t="s">
        <v>23</v>
      </c>
      <c r="C9" s="5" t="s">
        <v>42</v>
      </c>
      <c r="D9" s="25">
        <f>1181.355+40</f>
        <v>1221.355</v>
      </c>
      <c r="E9" s="25">
        <f>333.098-55.516333+435.15+40.45-0.005</f>
        <v>753.1766670000001</v>
      </c>
      <c r="F9" s="25">
        <f>14.55+27.3</f>
        <v>41.85</v>
      </c>
      <c r="G9" s="25">
        <f>26.9234-0.0008</f>
        <v>26.9226</v>
      </c>
      <c r="H9" s="6">
        <f t="shared" si="0"/>
        <v>0.0036376730328804693</v>
      </c>
      <c r="J9" s="8"/>
    </row>
    <row r="10" spans="1:8" ht="15">
      <c r="A10" s="2">
        <v>4</v>
      </c>
      <c r="B10" s="3" t="s">
        <v>10</v>
      </c>
      <c r="C10" s="5"/>
      <c r="D10" s="5">
        <f>D8+D9</f>
        <v>2012.855</v>
      </c>
      <c r="E10" s="25">
        <f>498.2273+499.58+42.39+312.15+14.56+8.86+6.14</f>
        <v>1381.9072999999999</v>
      </c>
      <c r="F10" s="25">
        <f>F8+F9</f>
        <v>45.86</v>
      </c>
      <c r="G10" s="25">
        <v>0</v>
      </c>
      <c r="H10" s="6">
        <f t="shared" si="0"/>
        <v>0</v>
      </c>
    </row>
    <row r="11" spans="1:8" ht="15">
      <c r="A11" s="35">
        <v>5</v>
      </c>
      <c r="B11" s="23" t="s">
        <v>31</v>
      </c>
      <c r="C11" s="5"/>
      <c r="D11" s="7">
        <f>16895</f>
        <v>16895</v>
      </c>
      <c r="E11" s="25">
        <f>12609</f>
        <v>12609</v>
      </c>
      <c r="F11" s="25">
        <f>363</f>
        <v>363</v>
      </c>
      <c r="G11" s="25">
        <f>D11-E11-F11-0.0006</f>
        <v>3922.9994</v>
      </c>
      <c r="H11" s="6">
        <f t="shared" si="0"/>
        <v>0.5300598428601347</v>
      </c>
    </row>
    <row r="12" spans="1:8" ht="15">
      <c r="A12" s="36"/>
      <c r="B12" s="23" t="s">
        <v>32</v>
      </c>
      <c r="C12" s="5"/>
      <c r="D12" s="7">
        <f>12925</f>
        <v>12925</v>
      </c>
      <c r="E12" s="25">
        <f>12016</f>
        <v>12016</v>
      </c>
      <c r="F12" s="25">
        <v>0</v>
      </c>
      <c r="G12" s="25">
        <f>D12-E12-F12+0.0001</f>
        <v>909.0001</v>
      </c>
      <c r="H12" s="6">
        <f t="shared" si="0"/>
        <v>0.12282042412900872</v>
      </c>
    </row>
    <row r="13" spans="1:8" ht="15">
      <c r="A13" s="37"/>
      <c r="B13" s="19" t="s">
        <v>14</v>
      </c>
      <c r="C13" s="19"/>
      <c r="D13" s="20">
        <f>SUM(D11:D12)</f>
        <v>29820</v>
      </c>
      <c r="E13" s="29">
        <f>SUM(E11:E12)</f>
        <v>24625</v>
      </c>
      <c r="F13" s="29">
        <f>SUM(F11:F12)</f>
        <v>363</v>
      </c>
      <c r="G13" s="29">
        <f>SUM(G11:G12)</f>
        <v>4831.9995</v>
      </c>
      <c r="H13" s="6">
        <f t="shared" si="0"/>
        <v>0.6528802669891434</v>
      </c>
    </row>
    <row r="14" spans="1:8" ht="15">
      <c r="A14" s="1"/>
      <c r="B14" s="1"/>
      <c r="C14" s="1"/>
      <c r="D14" s="10"/>
      <c r="E14" s="10"/>
      <c r="F14" s="10"/>
      <c r="G14" s="10"/>
      <c r="H14" s="6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36.00390625" style="0" customWidth="1"/>
    <col min="4" max="4" width="15.57421875" style="0" customWidth="1"/>
    <col min="5" max="5" width="16.7109375" style="0" customWidth="1"/>
    <col min="6" max="6" width="15.28125" style="0" customWidth="1"/>
    <col min="7" max="7" width="12.57421875" style="0" customWidth="1"/>
    <col min="8" max="8" width="12.421875" style="0" customWidth="1"/>
    <col min="9" max="9" width="9.57421875" style="0" bestFit="1" customWidth="1"/>
  </cols>
  <sheetData>
    <row r="3" spans="2:3" ht="15.75">
      <c r="B3" s="12" t="s">
        <v>43</v>
      </c>
      <c r="C3" s="12"/>
    </row>
    <row r="4" spans="1:8" ht="15">
      <c r="A4" s="38" t="s">
        <v>8</v>
      </c>
      <c r="B4" s="38"/>
      <c r="C4" s="38"/>
      <c r="D4" s="38"/>
      <c r="E4" s="38"/>
      <c r="F4" s="38"/>
      <c r="G4" s="38"/>
      <c r="H4" s="38"/>
    </row>
    <row r="5" spans="1:8" ht="74.25" customHeight="1">
      <c r="A5" s="31" t="s">
        <v>0</v>
      </c>
      <c r="B5" s="33" t="s">
        <v>1</v>
      </c>
      <c r="C5" s="31" t="s">
        <v>2</v>
      </c>
      <c r="D5" s="31" t="s">
        <v>11</v>
      </c>
      <c r="E5" s="31" t="s">
        <v>3</v>
      </c>
      <c r="F5" s="31" t="s">
        <v>4</v>
      </c>
      <c r="G5" s="31" t="s">
        <v>5</v>
      </c>
      <c r="H5" s="33" t="s">
        <v>6</v>
      </c>
    </row>
    <row r="6" spans="1:8" ht="15" customHeight="1">
      <c r="A6" s="32"/>
      <c r="B6" s="34"/>
      <c r="C6" s="32"/>
      <c r="D6" s="32"/>
      <c r="E6" s="32"/>
      <c r="F6" s="32"/>
      <c r="G6" s="32"/>
      <c r="H6" s="34"/>
    </row>
    <row r="7" spans="1:10" ht="15">
      <c r="A7" s="15">
        <v>1</v>
      </c>
      <c r="B7" s="16" t="s">
        <v>24</v>
      </c>
      <c r="C7" s="15"/>
      <c r="D7" s="18">
        <f>32.59</f>
        <v>32.59</v>
      </c>
      <c r="E7" s="18">
        <f>E8*0.0478+0.0023</f>
        <v>29.530180271800006</v>
      </c>
      <c r="F7" s="24">
        <v>0.36</v>
      </c>
      <c r="G7" s="25">
        <f>26.9234*0.0478+0.0007</f>
        <v>1.28763852</v>
      </c>
      <c r="H7" s="6">
        <f aca="true" t="shared" si="0" ref="H7:H13">G7/7401.05</f>
        <v>0.00017398051898041494</v>
      </c>
      <c r="J7" s="8"/>
    </row>
    <row r="8" spans="1:10" ht="15">
      <c r="A8" s="2">
        <v>2</v>
      </c>
      <c r="B8" s="3" t="s">
        <v>9</v>
      </c>
      <c r="C8" s="5"/>
      <c r="D8" s="6">
        <f>611.1</f>
        <v>611.1</v>
      </c>
      <c r="E8" s="25">
        <f>428.5555-71.277419+238.63+21.83</f>
        <v>617.7380810000001</v>
      </c>
      <c r="F8" s="25">
        <f>4.01+1.76</f>
        <v>5.77</v>
      </c>
      <c r="G8" s="25">
        <f>D8-E8-F8+1.3161</f>
        <v>-11.091981000000056</v>
      </c>
      <c r="H8" s="6">
        <f t="shared" si="0"/>
        <v>-0.0014987036974483425</v>
      </c>
      <c r="J8" s="8"/>
    </row>
    <row r="9" spans="1:10" ht="15">
      <c r="A9" s="2">
        <v>3</v>
      </c>
      <c r="B9" s="3" t="s">
        <v>23</v>
      </c>
      <c r="C9" s="5" t="s">
        <v>44</v>
      </c>
      <c r="D9" s="25">
        <f>1165+37</f>
        <v>1202</v>
      </c>
      <c r="E9" s="25">
        <f>303.391-50.565161+492.47+324.84</f>
        <v>1070.135839</v>
      </c>
      <c r="F9" s="25">
        <f>14.55+44.45</f>
        <v>59</v>
      </c>
      <c r="G9" s="25">
        <f>26.9234-0.0008</f>
        <v>26.9226</v>
      </c>
      <c r="H9" s="6">
        <f t="shared" si="0"/>
        <v>0.0036376730328804693</v>
      </c>
      <c r="J9" s="8"/>
    </row>
    <row r="10" spans="1:8" ht="15">
      <c r="A10" s="2">
        <v>4</v>
      </c>
      <c r="B10" s="3" t="s">
        <v>10</v>
      </c>
      <c r="C10" s="5"/>
      <c r="D10" s="5">
        <f>D8+D9</f>
        <v>1813.1</v>
      </c>
      <c r="E10" s="25">
        <f>453.0033+654.22+277.31+287.7806+8.86+6.7</f>
        <v>1687.8739</v>
      </c>
      <c r="F10" s="30">
        <f>F8+F9</f>
        <v>64.77</v>
      </c>
      <c r="G10" s="25">
        <v>0</v>
      </c>
      <c r="H10" s="6">
        <f t="shared" si="0"/>
        <v>0</v>
      </c>
    </row>
    <row r="11" spans="1:8" ht="15">
      <c r="A11" s="35">
        <v>5</v>
      </c>
      <c r="B11" s="23" t="s">
        <v>31</v>
      </c>
      <c r="C11" s="5"/>
      <c r="D11" s="7">
        <f>18255</f>
        <v>18255</v>
      </c>
      <c r="E11" s="25">
        <f>5682</f>
        <v>5682</v>
      </c>
      <c r="F11" s="25">
        <f>557</f>
        <v>557</v>
      </c>
      <c r="G11" s="25">
        <f>9615.5+0.0003</f>
        <v>9615.5003</v>
      </c>
      <c r="H11" s="6">
        <f t="shared" si="0"/>
        <v>1.2992075854101781</v>
      </c>
    </row>
    <row r="12" spans="1:8" ht="15">
      <c r="A12" s="36"/>
      <c r="B12" s="23" t="s">
        <v>32</v>
      </c>
      <c r="C12" s="5"/>
      <c r="D12" s="7">
        <f>15895</f>
        <v>15895</v>
      </c>
      <c r="E12" s="25">
        <f>11664</f>
        <v>11664</v>
      </c>
      <c r="F12" s="25">
        <v>0</v>
      </c>
      <c r="G12" s="25">
        <v>0</v>
      </c>
      <c r="H12" s="6">
        <f t="shared" si="0"/>
        <v>0</v>
      </c>
    </row>
    <row r="13" spans="1:8" ht="15">
      <c r="A13" s="37"/>
      <c r="B13" s="19" t="s">
        <v>14</v>
      </c>
      <c r="C13" s="19"/>
      <c r="D13" s="20">
        <f>SUM(D11:D12)</f>
        <v>34150</v>
      </c>
      <c r="E13" s="29">
        <f>SUM(E11:E12)</f>
        <v>17346</v>
      </c>
      <c r="F13" s="29">
        <f>SUM(F11:F12)</f>
        <v>557</v>
      </c>
      <c r="G13" s="29">
        <f>SUM(G11:G12)</f>
        <v>9615.5003</v>
      </c>
      <c r="H13" s="6">
        <f t="shared" si="0"/>
        <v>1.2992075854101781</v>
      </c>
    </row>
    <row r="14" spans="1:8" ht="15">
      <c r="A14" s="1"/>
      <c r="B14" s="1"/>
      <c r="C14" s="1"/>
      <c r="D14" s="10"/>
      <c r="E14" s="10"/>
      <c r="F14" s="10"/>
      <c r="G14" s="10"/>
      <c r="H14" s="6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10">
    <mergeCell ref="A11:A1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2012-11-21T08:43:36Z</cp:lastPrinted>
  <dcterms:created xsi:type="dcterms:W3CDTF">2006-09-16T00:00:00Z</dcterms:created>
  <dcterms:modified xsi:type="dcterms:W3CDTF">2016-02-01T10:43:47Z</dcterms:modified>
  <cp:category/>
  <cp:version/>
  <cp:contentType/>
  <cp:contentStatus/>
</cp:coreProperties>
</file>