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35" windowHeight="6915" activeTab="0"/>
  </bookViews>
  <sheets>
    <sheet name="99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M4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показания = 2855, а поставщик предъявид по показаниям =2889
 </t>
        </r>
      </text>
    </comment>
    <comment ref="Q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Показания 6777, а поставщик предъявил на 17,7333 квт/ч меньше
</t>
        </r>
      </text>
    </comment>
    <comment ref="Q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показания 6177, а поставщик предъявил на 11,7333 квт/ч меньше
</t>
        </r>
      </text>
    </comment>
    <comment ref="Q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показания 7231, а поставщик предъявил на 26,3333 квт/ч
 меньше</t>
        </r>
      </text>
    </comment>
    <comment ref="Q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показания 6760, поставщик предъявил на 11,4333 квт/ч меньше
</t>
        </r>
      </text>
    </comment>
    <comment ref="Q1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показания 12212, а поставщик предъявил на 45,2 квт/ч меньше
</t>
        </r>
      </text>
    </comment>
    <comment ref="Q1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показания 11227, а поставщик предъявил на 20,1333 меньше
</t>
        </r>
      </text>
    </comment>
    <comment ref="Q1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показания 8531, а поставщик предъявил на 13,1335 меньше
</t>
        </r>
      </text>
    </comment>
    <comment ref="Q1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показания 8110, а поставщик предъявил на 83,1665 больше</t>
        </r>
      </text>
    </comment>
    <comment ref="Q2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показания 7055, а поставщик предъявил на 17,5333 квт/ч меньше</t>
        </r>
      </text>
    </comment>
    <comment ref="Q2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показания 5886, а поставщик предъявил на 9,8 квт/ч меньше
</t>
        </r>
      </text>
    </comment>
    <comment ref="Q2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показания 9357, а поставщик предъявил на 27,0334 меньше.</t>
        </r>
      </text>
    </comment>
    <comment ref="Q2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показание 8030, а постащик предъявил на 13,8 квт/ч меньше
</t>
        </r>
      </text>
    </comment>
    <comment ref="Q2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показания 46231, а постащик предъявил на 103,83 квт/ч меньше
</t>
        </r>
      </text>
    </comment>
    <comment ref="Q2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показания 45772, а поставщик предъявил на 106,3 квт/ч меньше</t>
        </r>
      </text>
    </comment>
    <comment ref="Q3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показания 5033, а поставщик предъявил на 6,2 квт/ч меньше</t>
        </r>
      </text>
    </comment>
    <comment ref="Q3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показания 6234, а поставщик предъявил на 7,0667 квт/ч меньше</t>
        </r>
      </text>
    </comment>
    <comment ref="Q3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показания 66083, а поставщик предъявил на 124,63 меньше</t>
        </r>
      </text>
    </comment>
    <comment ref="Q3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показания 76956, а поставщик предъявил на 117,9квт/ч меньше</t>
        </r>
      </text>
    </comment>
    <comment ref="Q4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показания 2185,а поставщик предъявил на 2,7 квт/ч
</t>
        </r>
      </text>
    </comment>
    <comment ref="Q4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показания 3976, а поставщик предъявил на 1,3 квт/ч меньше</t>
        </r>
      </text>
    </comment>
    <comment ref="Q4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показания 38497, а поставщик предъявил на 88,07 квт/ч меньше</t>
        </r>
      </text>
    </comment>
    <comment ref="Q4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показания 37410,а поставщик предъявил на 66,50 квт/ч меньше
</t>
        </r>
      </text>
    </comment>
    <comment ref="Q4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показания 2873, меньше чем предыдущие, поставщик не предъявил 0
</t>
        </r>
      </text>
    </comment>
    <comment ref="Q4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показания 3689, а поставщик предъявил на  4,50 квт/ч меньше</t>
        </r>
      </text>
    </comment>
    <comment ref="Q5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показания4562, а поставщик предъвил на 15,067 квт/ч меньше</t>
        </r>
      </text>
    </comment>
    <comment ref="Q5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показания 2216, а поставщик предъявил на 3,433 квт/ч меньше</t>
        </r>
      </text>
    </comment>
    <comment ref="Q5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показания 3820, а поставщик предъявил на 11,20 квт/ч меньше</t>
        </r>
      </text>
    </comment>
    <comment ref="Q5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показания 1989, а поставщик предъявил на 2,467 квт/ч меньше</t>
        </r>
      </text>
    </comment>
    <comment ref="Q6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показания 4493, а поставщик предъявил на  20,167 квт/ч меньше</t>
        </r>
      </text>
    </comment>
    <comment ref="Q6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показания 2626, а поставщик предъявил на 1,267 квт/ч меньше</t>
        </r>
      </text>
    </comment>
    <comment ref="U1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показания передали 67, ниже предыдущих на 11.</t>
        </r>
      </text>
    </comment>
    <comment ref="AA5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показания передали 1536/1927, а поставщик предъявил1580/1927
</t>
        </r>
      </text>
    </comment>
    <comment ref="AA59" authorId="0">
      <text>
        <r>
          <rPr>
            <b/>
            <sz val="8"/>
            <rFont val="Tahoma"/>
            <family val="0"/>
          </rPr>
          <t>user:п
показания передали 983/1294, а поставщик прдявил 1011/1294</t>
        </r>
      </text>
    </comment>
    <comment ref="AA6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показания передали 1580/2032, а поставщик предъявил 1536/2032</t>
        </r>
      </text>
    </comment>
    <comment ref="AA6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показания передали 1011/1332, а поставщик предъявил 983/1332</t>
        </r>
      </text>
    </comment>
  </commentList>
</comments>
</file>

<file path=xl/sharedStrings.xml><?xml version="1.0" encoding="utf-8"?>
<sst xmlns="http://schemas.openxmlformats.org/spreadsheetml/2006/main" count="142" uniqueCount="42">
  <si>
    <t>Адрес</t>
  </si>
  <si>
    <t>№ счётчика</t>
  </si>
  <si>
    <t>Учёт</t>
  </si>
  <si>
    <t>Коэфф-т трансформации</t>
  </si>
  <si>
    <t>д/н</t>
  </si>
  <si>
    <t>Фактич. Потреб-е  январь</t>
  </si>
  <si>
    <t>Фактич. Потреб-е  февраль</t>
  </si>
  <si>
    <t>Фактич. Потреб-е март</t>
  </si>
  <si>
    <t>Фактич. Потреб-е апрель</t>
  </si>
  <si>
    <t>Фактич. Потреб-е май</t>
  </si>
  <si>
    <t>Фактич. Потреб-е июль</t>
  </si>
  <si>
    <t>Фактич. Потреб-е август</t>
  </si>
  <si>
    <t>Фактич. Потреб-е сентябрь</t>
  </si>
  <si>
    <t>Фактич. Потреб-е октябрь</t>
  </si>
  <si>
    <t>Фактич. Потреб-е ноябрь</t>
  </si>
  <si>
    <t>Фактич. Потреб-е декабрь</t>
  </si>
  <si>
    <t>квартиры</t>
  </si>
  <si>
    <t>день</t>
  </si>
  <si>
    <t>ночь</t>
  </si>
  <si>
    <t>лифты</t>
  </si>
  <si>
    <t>дымоудаление</t>
  </si>
  <si>
    <t>освещение</t>
  </si>
  <si>
    <t>Итого</t>
  </si>
  <si>
    <t>Репина 99</t>
  </si>
  <si>
    <t>Фактич. потреб-е июнь</t>
  </si>
  <si>
    <t>Доля</t>
  </si>
  <si>
    <t>Показ-ия на 25,12,14</t>
  </si>
  <si>
    <t>Информация по общедомовым приборам учета электроэнергии и фактическом потреблении электроэнергии за 2015 год.</t>
  </si>
  <si>
    <t>Показ-ия на 25,01,15</t>
  </si>
  <si>
    <t>Показ-ия на 25,02,15</t>
  </si>
  <si>
    <t>Показ-ия на 25,03,15</t>
  </si>
  <si>
    <t>Показ-ия на 25,04,15</t>
  </si>
  <si>
    <t>Показ-ия на 25,05,15</t>
  </si>
  <si>
    <t>Показ-ия на 25,06,15</t>
  </si>
  <si>
    <t>Показ-ия на 25,07,15</t>
  </si>
  <si>
    <t>Показ-ия на 25,08,15</t>
  </si>
  <si>
    <t>Показ-ия на 25,09,15</t>
  </si>
  <si>
    <t>Показ-ия на 25,10,15</t>
  </si>
  <si>
    <t>Показ-ия на 25,11,15</t>
  </si>
  <si>
    <t>Показ-ия на 25,12,15</t>
  </si>
  <si>
    <t>Заменен на новый</t>
  </si>
  <si>
    <t>№ п/п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</si>
</sst>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0.00000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24" borderId="10" xfId="0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>
      <alignment vertical="center" wrapText="1"/>
    </xf>
    <xf numFmtId="0" fontId="1" fillId="24" borderId="11" xfId="0" applyFont="1" applyFill="1" applyBorder="1" applyAlignment="1">
      <alignment horizontal="center"/>
    </xf>
    <xf numFmtId="0" fontId="1" fillId="24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1" fontId="1" fillId="24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24" borderId="0" xfId="0" applyFill="1" applyAlignment="1">
      <alignment/>
    </xf>
    <xf numFmtId="2" fontId="0" fillId="0" borderId="10" xfId="0" applyNumberFormat="1" applyBorder="1" applyAlignment="1">
      <alignment/>
    </xf>
    <xf numFmtId="1" fontId="0" fillId="25" borderId="10" xfId="0" applyNumberForma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0" fillId="25" borderId="10" xfId="0" applyFill="1" applyBorder="1" applyAlignment="1">
      <alignment/>
    </xf>
    <xf numFmtId="0" fontId="1" fillId="25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0" fontId="0" fillId="0" borderId="10" xfId="0" applyNumberFormat="1" applyBorder="1" applyAlignment="1">
      <alignment horizontal="center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/>
    </xf>
    <xf numFmtId="0" fontId="1" fillId="24" borderId="17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1" fillId="24" borderId="18" xfId="0" applyFont="1" applyFill="1" applyBorder="1" applyAlignment="1">
      <alignment horizontal="center"/>
    </xf>
    <xf numFmtId="0" fontId="1" fillId="24" borderId="19" xfId="0" applyFont="1" applyFill="1" applyBorder="1" applyAlignment="1">
      <alignment horizontal="center"/>
    </xf>
    <xf numFmtId="0" fontId="1" fillId="24" borderId="12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6"/>
  <sheetViews>
    <sheetView tabSelected="1" zoomScalePageLayoutView="0" workbookViewId="0" topLeftCell="A1">
      <pane xSplit="14" ySplit="11" topLeftCell="Y53" activePane="bottomRight" state="frozen"/>
      <selection pane="topLeft" activeCell="A1" sqref="A1"/>
      <selection pane="topRight" activeCell="O1" sqref="O1"/>
      <selection pane="bottomLeft" activeCell="A12" sqref="A12"/>
      <selection pane="bottomRight" activeCell="Y61" sqref="Y61"/>
    </sheetView>
  </sheetViews>
  <sheetFormatPr defaultColWidth="9.140625" defaultRowHeight="15"/>
  <cols>
    <col min="2" max="2" width="3.8515625" style="0" customWidth="1"/>
    <col min="4" max="4" width="14.8515625" style="0" customWidth="1"/>
    <col min="7" max="7" width="5.140625" style="0" customWidth="1"/>
    <col min="8" max="9" width="9.140625" style="0" hidden="1" customWidth="1"/>
    <col min="10" max="10" width="9.8515625" style="0" hidden="1" customWidth="1"/>
    <col min="11" max="11" width="9.140625" style="0" hidden="1" customWidth="1"/>
    <col min="12" max="12" width="10.28125" style="0" hidden="1" customWidth="1"/>
    <col min="13" max="13" width="9.140625" style="0" hidden="1" customWidth="1"/>
    <col min="14" max="14" width="10.140625" style="0" hidden="1" customWidth="1"/>
    <col min="15" max="15" width="0" style="0" hidden="1" customWidth="1"/>
    <col min="16" max="16" width="9.8515625" style="0" hidden="1" customWidth="1"/>
    <col min="17" max="17" width="0" style="0" hidden="1" customWidth="1"/>
    <col min="18" max="18" width="9.421875" style="0" customWidth="1"/>
    <col min="22" max="22" width="9.7109375" style="0" customWidth="1"/>
    <col min="24" max="24" width="11.7109375" style="0" customWidth="1"/>
    <col min="26" max="26" width="9.8515625" style="0" customWidth="1"/>
    <col min="28" max="28" width="9.7109375" style="0" customWidth="1"/>
    <col min="30" max="30" width="9.7109375" style="0" customWidth="1"/>
    <col min="32" max="32" width="9.7109375" style="0" customWidth="1"/>
  </cols>
  <sheetData>
    <row r="1" spans="1:2" ht="15.75">
      <c r="A1" s="12" t="s">
        <v>27</v>
      </c>
      <c r="B1" s="12"/>
    </row>
    <row r="3" spans="1:32" ht="409.5">
      <c r="A3" s="2" t="s">
        <v>0</v>
      </c>
      <c r="B3" s="16" t="s">
        <v>41</v>
      </c>
      <c r="C3" s="3" t="s">
        <v>1</v>
      </c>
      <c r="D3" s="4" t="s">
        <v>2</v>
      </c>
      <c r="E3" s="3" t="s">
        <v>3</v>
      </c>
      <c r="F3" s="3" t="s">
        <v>25</v>
      </c>
      <c r="G3" s="4" t="s">
        <v>4</v>
      </c>
      <c r="H3" s="3" t="s">
        <v>26</v>
      </c>
      <c r="I3" s="3" t="s">
        <v>28</v>
      </c>
      <c r="J3" s="7" t="s">
        <v>5</v>
      </c>
      <c r="K3" s="3" t="s">
        <v>29</v>
      </c>
      <c r="L3" s="7" t="s">
        <v>6</v>
      </c>
      <c r="M3" s="3" t="s">
        <v>30</v>
      </c>
      <c r="N3" s="7" t="s">
        <v>7</v>
      </c>
      <c r="O3" s="3" t="s">
        <v>31</v>
      </c>
      <c r="P3" s="7" t="s">
        <v>8</v>
      </c>
      <c r="Q3" s="3" t="s">
        <v>32</v>
      </c>
      <c r="R3" s="7" t="s">
        <v>9</v>
      </c>
      <c r="S3" s="3" t="s">
        <v>33</v>
      </c>
      <c r="T3" s="7" t="s">
        <v>24</v>
      </c>
      <c r="U3" s="3" t="s">
        <v>34</v>
      </c>
      <c r="V3" s="7" t="s">
        <v>10</v>
      </c>
      <c r="W3" s="3" t="s">
        <v>35</v>
      </c>
      <c r="X3" s="7" t="s">
        <v>11</v>
      </c>
      <c r="Y3" s="3" t="s">
        <v>36</v>
      </c>
      <c r="Z3" s="7" t="s">
        <v>12</v>
      </c>
      <c r="AA3" s="3" t="s">
        <v>37</v>
      </c>
      <c r="AB3" s="7" t="s">
        <v>13</v>
      </c>
      <c r="AC3" s="3" t="s">
        <v>38</v>
      </c>
      <c r="AD3" s="7" t="s">
        <v>14</v>
      </c>
      <c r="AE3" s="3" t="s">
        <v>39</v>
      </c>
      <c r="AF3" s="7" t="s">
        <v>15</v>
      </c>
    </row>
    <row r="4" spans="1:32" ht="15" customHeight="1">
      <c r="A4" s="28" t="s">
        <v>23</v>
      </c>
      <c r="B4" s="20">
        <v>24</v>
      </c>
      <c r="C4" s="24">
        <v>489470</v>
      </c>
      <c r="D4" s="24" t="s">
        <v>16</v>
      </c>
      <c r="E4" s="24">
        <v>30</v>
      </c>
      <c r="F4" s="27">
        <v>1.0043</v>
      </c>
      <c r="G4" s="1" t="s">
        <v>17</v>
      </c>
      <c r="H4" s="1">
        <v>6455</v>
      </c>
      <c r="I4" s="1">
        <v>6534</v>
      </c>
      <c r="J4" s="10">
        <f>(I4-H4)*E4*F4-0.19</f>
        <v>2380.0009999999997</v>
      </c>
      <c r="K4" s="1">
        <v>6610</v>
      </c>
      <c r="L4" s="10">
        <f>(K4-I4)*E4*F4</f>
        <v>2289.804</v>
      </c>
      <c r="M4" s="1">
        <v>6682</v>
      </c>
      <c r="N4" s="10">
        <f>(M4-K4)*E4*F4</f>
        <v>2169.288</v>
      </c>
      <c r="O4" s="1">
        <v>6720</v>
      </c>
      <c r="P4" s="10">
        <f>(O4-M4)*E4*F4+0.1</f>
        <v>1145.002</v>
      </c>
      <c r="Q4" s="14">
        <f>6777-17.7333</f>
        <v>6759.2667</v>
      </c>
      <c r="R4" s="10">
        <f>(Q4-O4)*E4*F4-0.07</f>
        <v>1182.9964043000039</v>
      </c>
      <c r="S4" s="22" t="s">
        <v>40</v>
      </c>
      <c r="T4" s="10">
        <v>0</v>
      </c>
      <c r="U4" s="1"/>
      <c r="V4" s="10">
        <v>0</v>
      </c>
      <c r="W4" s="1"/>
      <c r="X4" s="10">
        <f>(W4-U4)*E4*F4</f>
        <v>0</v>
      </c>
      <c r="Y4" s="1"/>
      <c r="Z4" s="1">
        <f>(Y4-W4)*E4*F4</f>
        <v>0</v>
      </c>
      <c r="AA4" s="1"/>
      <c r="AB4" s="1">
        <f>(AA4-Y4)*E4*F4</f>
        <v>0</v>
      </c>
      <c r="AC4" s="1"/>
      <c r="AD4" s="1">
        <f>(AC4-AA4)*E4*F4</f>
        <v>0</v>
      </c>
      <c r="AE4" s="1"/>
      <c r="AF4" s="1">
        <f>(AE4-AC4)*E4*F4</f>
        <v>0</v>
      </c>
    </row>
    <row r="5" spans="1:32" ht="15">
      <c r="A5" s="29"/>
      <c r="B5" s="21"/>
      <c r="C5" s="24"/>
      <c r="D5" s="24"/>
      <c r="E5" s="24"/>
      <c r="F5" s="24"/>
      <c r="G5" s="1" t="s">
        <v>18</v>
      </c>
      <c r="H5" s="1">
        <v>5882</v>
      </c>
      <c r="I5" s="1">
        <v>5956</v>
      </c>
      <c r="J5" s="10">
        <f>(I5-H5)*E4*F4+0.45</f>
        <v>2229.9959999999996</v>
      </c>
      <c r="K5" s="1">
        <v>6022</v>
      </c>
      <c r="L5" s="10">
        <f>(K5-I5)*E4*F4</f>
        <v>1988.514</v>
      </c>
      <c r="M5" s="1">
        <v>6088</v>
      </c>
      <c r="N5" s="10">
        <f>(M5-K5)*E4*F4</f>
        <v>1988.514</v>
      </c>
      <c r="O5" s="1">
        <v>6126</v>
      </c>
      <c r="P5" s="10">
        <f>(O5-M5)*E4*F4+0.098</f>
        <v>1145</v>
      </c>
      <c r="Q5" s="14">
        <f>6177-11.7333</f>
        <v>6165.2667</v>
      </c>
      <c r="R5" s="10">
        <f>(Q5-O5)*E4*F4-0.07</f>
        <v>1182.9964043000039</v>
      </c>
      <c r="S5" s="23"/>
      <c r="T5" s="10">
        <v>0</v>
      </c>
      <c r="U5" s="1"/>
      <c r="V5" s="10">
        <f>(U5-S5)*E4*F4</f>
        <v>0</v>
      </c>
      <c r="W5" s="1"/>
      <c r="X5" s="10">
        <f>(W5-U5)*E4*F4</f>
        <v>0</v>
      </c>
      <c r="Y5" s="1"/>
      <c r="Z5" s="1">
        <f>(Y5-W5)*E4*F4</f>
        <v>0</v>
      </c>
      <c r="AA5" s="1"/>
      <c r="AB5" s="1">
        <f>(AA5-Y5)*E4*F4</f>
        <v>0</v>
      </c>
      <c r="AC5" s="1"/>
      <c r="AD5" s="1">
        <f>(AC5-AA5)*E4*F4</f>
        <v>0</v>
      </c>
      <c r="AE5" s="1"/>
      <c r="AF5" s="1">
        <f>(AE5-AC5)*E4*F4</f>
        <v>0</v>
      </c>
    </row>
    <row r="6" spans="1:32" ht="15">
      <c r="A6" s="29"/>
      <c r="B6" s="20">
        <v>9</v>
      </c>
      <c r="C6" s="24">
        <v>21724271</v>
      </c>
      <c r="D6" s="24" t="s">
        <v>16</v>
      </c>
      <c r="E6" s="24">
        <v>30</v>
      </c>
      <c r="F6" s="27">
        <v>1.0043</v>
      </c>
      <c r="G6" s="1" t="s">
        <v>17</v>
      </c>
      <c r="H6" s="1"/>
      <c r="I6" s="1"/>
      <c r="J6" s="10"/>
      <c r="K6" s="1"/>
      <c r="L6" s="10"/>
      <c r="M6" s="1"/>
      <c r="N6" s="10"/>
      <c r="O6" s="1"/>
      <c r="P6" s="10"/>
      <c r="Q6" s="14">
        <v>1</v>
      </c>
      <c r="R6" s="10">
        <v>0</v>
      </c>
      <c r="S6" s="1">
        <v>47</v>
      </c>
      <c r="T6" s="15">
        <f>(S6-Q6)*E6*F6+0.066</f>
        <v>1386</v>
      </c>
      <c r="U6" s="1">
        <v>105</v>
      </c>
      <c r="V6" s="15">
        <f>(U6-S6)*E6*F6+0.518</f>
        <v>1748</v>
      </c>
      <c r="W6" s="1">
        <v>155</v>
      </c>
      <c r="X6" s="10">
        <f>(W6-U6)*E6*F6-0.45</f>
        <v>1506</v>
      </c>
      <c r="Y6" s="1">
        <v>217</v>
      </c>
      <c r="Z6" s="15">
        <f>(Y6-W6)*E6*F6+0.002</f>
        <v>1868</v>
      </c>
      <c r="AA6" s="1">
        <v>276</v>
      </c>
      <c r="AB6" s="10">
        <f>(AA6-Y6)*E6*F6+0.389</f>
        <v>1777.9999999999998</v>
      </c>
      <c r="AC6" s="1">
        <v>346</v>
      </c>
      <c r="AD6" s="15">
        <f>(AC6-AA6)*E6*F6-0.03</f>
        <v>2108.9999999999995</v>
      </c>
      <c r="AE6" s="1">
        <v>398</v>
      </c>
      <c r="AF6" s="10">
        <f>(AE6-AC6)*E6*F6+0.292</f>
        <v>1566.9999999999998</v>
      </c>
    </row>
    <row r="7" spans="1:32" ht="15">
      <c r="A7" s="29"/>
      <c r="B7" s="21"/>
      <c r="C7" s="24"/>
      <c r="D7" s="24"/>
      <c r="E7" s="24"/>
      <c r="F7" s="24"/>
      <c r="G7" s="1" t="s">
        <v>18</v>
      </c>
      <c r="H7" s="1"/>
      <c r="I7" s="1"/>
      <c r="J7" s="10"/>
      <c r="K7" s="1"/>
      <c r="L7" s="10"/>
      <c r="M7" s="1"/>
      <c r="N7" s="10"/>
      <c r="O7" s="1"/>
      <c r="P7" s="10"/>
      <c r="Q7" s="14">
        <v>1</v>
      </c>
      <c r="R7" s="10">
        <v>0</v>
      </c>
      <c r="S7" s="1">
        <v>52</v>
      </c>
      <c r="T7" s="15">
        <f>(S7-Q7)*E6*F6+0.421</f>
        <v>1537</v>
      </c>
      <c r="U7" s="1">
        <v>110</v>
      </c>
      <c r="V7" s="15">
        <f>(U7-S7)*E6*F6-0.482</f>
        <v>1747</v>
      </c>
      <c r="W7" s="1">
        <v>154</v>
      </c>
      <c r="X7" s="10">
        <f>(W7-U7)*E6*F6+0.324</f>
        <v>1326</v>
      </c>
      <c r="Y7" s="1">
        <v>204</v>
      </c>
      <c r="Z7" s="15">
        <f>(Y7-W7)*E6*F6-0.45</f>
        <v>1506</v>
      </c>
      <c r="AA7" s="1">
        <v>268</v>
      </c>
      <c r="AB7" s="10">
        <f>(AA7-Y7)*E6*F6-0.256</f>
        <v>1927.9999999999998</v>
      </c>
      <c r="AC7" s="1">
        <v>328</v>
      </c>
      <c r="AD7" s="15">
        <f>(AC7-AA7)*E6*F6+0.26</f>
        <v>1808</v>
      </c>
      <c r="AE7" s="1">
        <v>381</v>
      </c>
      <c r="AF7" s="10">
        <f>(AE7-AC7)*E6*F6+0.163</f>
        <v>1597</v>
      </c>
    </row>
    <row r="8" spans="1:32" ht="15" customHeight="1">
      <c r="A8" s="29"/>
      <c r="B8" s="20">
        <v>23</v>
      </c>
      <c r="C8" s="24">
        <v>489336</v>
      </c>
      <c r="D8" s="24" t="s">
        <v>16</v>
      </c>
      <c r="E8" s="24">
        <v>30</v>
      </c>
      <c r="F8" s="27">
        <v>1.0043</v>
      </c>
      <c r="G8" s="1" t="s">
        <v>17</v>
      </c>
      <c r="H8" s="1">
        <v>6811</v>
      </c>
      <c r="I8" s="1">
        <v>6918</v>
      </c>
      <c r="J8" s="10">
        <f>(I8-H8)*E8*F8+0.2</f>
        <v>3224.0029999999997</v>
      </c>
      <c r="K8" s="1">
        <v>7016</v>
      </c>
      <c r="L8" s="10">
        <f>(K8-I8)*E8*F8</f>
        <v>2952.642</v>
      </c>
      <c r="M8" s="1">
        <v>7103</v>
      </c>
      <c r="N8" s="10">
        <f>(M8-K8)*E8*F8</f>
        <v>2621.223</v>
      </c>
      <c r="O8" s="1">
        <v>7153</v>
      </c>
      <c r="P8" s="10">
        <f>(O8-M8)*E8*F8-0.45</f>
        <v>1506</v>
      </c>
      <c r="Q8" s="14">
        <f>7231-26.3333</f>
        <v>7204.6667</v>
      </c>
      <c r="R8" s="10">
        <f>(Q8-O8)*E8*F8+0.334</f>
        <v>1557.000004299993</v>
      </c>
      <c r="S8" s="22" t="s">
        <v>40</v>
      </c>
      <c r="T8" s="15">
        <v>0</v>
      </c>
      <c r="U8" s="1"/>
      <c r="V8" s="10">
        <v>0</v>
      </c>
      <c r="W8" s="1"/>
      <c r="X8" s="10">
        <f>(W8-U8)*E8*F8</f>
        <v>0</v>
      </c>
      <c r="Y8" s="1"/>
      <c r="Z8" s="19">
        <f>(Y8-W8)*E8*F8</f>
        <v>0</v>
      </c>
      <c r="AA8" s="1"/>
      <c r="AB8" s="1">
        <f>(AA8-Y8)*E8*F8</f>
        <v>0</v>
      </c>
      <c r="AC8" s="1"/>
      <c r="AD8" s="19">
        <f>(AC8-AA8)*E8*F8</f>
        <v>0</v>
      </c>
      <c r="AE8" s="1"/>
      <c r="AF8" s="1">
        <f>(AE8-AC8)*E8*F8</f>
        <v>0</v>
      </c>
    </row>
    <row r="9" spans="1:32" ht="15">
      <c r="A9" s="29"/>
      <c r="B9" s="21"/>
      <c r="C9" s="24"/>
      <c r="D9" s="24"/>
      <c r="E9" s="24"/>
      <c r="F9" s="24"/>
      <c r="G9" s="1" t="s">
        <v>18</v>
      </c>
      <c r="H9" s="1">
        <v>6384</v>
      </c>
      <c r="I9" s="1">
        <v>6486</v>
      </c>
      <c r="J9" s="10">
        <f>(I9-H9)*E8*F8-0.16</f>
        <v>3072.998</v>
      </c>
      <c r="K9" s="1">
        <v>6574</v>
      </c>
      <c r="L9" s="10">
        <f>(K9-I9)*E8*F8</f>
        <v>2651.352</v>
      </c>
      <c r="M9" s="1">
        <v>6653</v>
      </c>
      <c r="N9" s="10">
        <f>(M9-K9)*E8*F8</f>
        <v>2380.191</v>
      </c>
      <c r="O9" s="1">
        <v>6700</v>
      </c>
      <c r="P9" s="10">
        <f>(O9-M9)*E8*F8-0.063</f>
        <v>1415.9999999999998</v>
      </c>
      <c r="Q9" s="14">
        <f>6760-11.4333</f>
        <v>6748.5667</v>
      </c>
      <c r="R9" s="10">
        <f>(Q9-O9)*E8*F8-0.27</f>
        <v>1462.9961043000094</v>
      </c>
      <c r="S9" s="23"/>
      <c r="T9" s="15">
        <v>0</v>
      </c>
      <c r="U9" s="1"/>
      <c r="V9" s="10">
        <f>(U9-S9)*E8*F8</f>
        <v>0</v>
      </c>
      <c r="W9" s="1"/>
      <c r="X9" s="10">
        <f>(W9-U9)*E8*F8</f>
        <v>0</v>
      </c>
      <c r="Y9" s="1"/>
      <c r="Z9" s="19">
        <f>(Y9-W9)*E8*F8</f>
        <v>0</v>
      </c>
      <c r="AA9" s="1"/>
      <c r="AB9" s="1">
        <f>(AA9-Y9)*E8*F8</f>
        <v>0</v>
      </c>
      <c r="AC9" s="1"/>
      <c r="AD9" s="19">
        <f>(AC9-AA9)*E8*F8</f>
        <v>0</v>
      </c>
      <c r="AE9" s="1"/>
      <c r="AF9" s="1">
        <f>(AE9-AC9)*E8*F8</f>
        <v>0</v>
      </c>
    </row>
    <row r="10" spans="1:32" ht="15">
      <c r="A10" s="29"/>
      <c r="B10" s="20">
        <v>10</v>
      </c>
      <c r="C10" s="24">
        <v>21724270</v>
      </c>
      <c r="D10" s="24" t="s">
        <v>16</v>
      </c>
      <c r="E10" s="24">
        <v>1</v>
      </c>
      <c r="F10" s="27">
        <v>1.0043</v>
      </c>
      <c r="G10" s="1" t="s">
        <v>17</v>
      </c>
      <c r="H10" s="1"/>
      <c r="I10" s="1"/>
      <c r="J10" s="10"/>
      <c r="K10" s="1"/>
      <c r="L10" s="10"/>
      <c r="M10" s="1"/>
      <c r="N10" s="10"/>
      <c r="O10" s="1"/>
      <c r="P10" s="10"/>
      <c r="Q10" s="14">
        <v>1</v>
      </c>
      <c r="R10" s="10">
        <v>0</v>
      </c>
      <c r="S10" s="1">
        <v>61</v>
      </c>
      <c r="T10" s="15">
        <f>(S10-Q10)*E10*F10-0.258</f>
        <v>59.99999999999999</v>
      </c>
      <c r="U10" s="1">
        <v>132</v>
      </c>
      <c r="V10" s="10">
        <f>(U10-S10)*E10*F10-0.305</f>
        <v>71.0003</v>
      </c>
      <c r="W10" s="1">
        <v>198</v>
      </c>
      <c r="X10" s="10">
        <f>(W10-U10)*E10*F10-0.2838</f>
        <v>66</v>
      </c>
      <c r="Y10" s="1">
        <v>284</v>
      </c>
      <c r="Z10" s="19">
        <f>(Y10-W10)*E10*F10-0.3698</f>
        <v>86</v>
      </c>
      <c r="AA10" s="1">
        <v>356</v>
      </c>
      <c r="AB10" s="1">
        <f>(AA10-Y10)*E10*F10-0.3096</f>
        <v>72</v>
      </c>
      <c r="AC10" s="1">
        <v>437</v>
      </c>
      <c r="AD10" s="15">
        <f>(AC10-AA10)*E10*F10-0.3483</f>
        <v>81</v>
      </c>
      <c r="AE10" s="1">
        <v>500</v>
      </c>
      <c r="AF10" s="1">
        <f>(AE10-AC10)*E10*F10-0.2709</f>
        <v>63</v>
      </c>
    </row>
    <row r="11" spans="1:32" ht="15">
      <c r="A11" s="29"/>
      <c r="B11" s="21"/>
      <c r="C11" s="24"/>
      <c r="D11" s="24"/>
      <c r="E11" s="24"/>
      <c r="F11" s="24"/>
      <c r="G11" s="1" t="s">
        <v>18</v>
      </c>
      <c r="H11" s="1"/>
      <c r="I11" s="1"/>
      <c r="J11" s="10"/>
      <c r="K11" s="1"/>
      <c r="L11" s="10"/>
      <c r="M11" s="1"/>
      <c r="N11" s="10"/>
      <c r="O11" s="1"/>
      <c r="P11" s="10"/>
      <c r="Q11" s="14">
        <v>1</v>
      </c>
      <c r="R11" s="10">
        <v>0</v>
      </c>
      <c r="S11" s="1">
        <v>61</v>
      </c>
      <c r="T11" s="15">
        <f>(S11-Q11)*E10*F10-0.258</f>
        <v>59.99999999999999</v>
      </c>
      <c r="U11" s="1">
        <v>128</v>
      </c>
      <c r="V11" s="10">
        <f>(U11-S11)*E10*F10-0.288</f>
        <v>67.0001</v>
      </c>
      <c r="W11" s="1">
        <v>182</v>
      </c>
      <c r="X11" s="10">
        <f>(W11-U11)*E10*F10-0.2322</f>
        <v>54</v>
      </c>
      <c r="Y11" s="1">
        <v>258</v>
      </c>
      <c r="Z11" s="19">
        <f>(Y11-W11)*E10*F10-0.3268</f>
        <v>75.99999999999999</v>
      </c>
      <c r="AA11" s="1">
        <v>330</v>
      </c>
      <c r="AB11" s="1">
        <f>(AA11-Y11)*E10*F10-0.3096</f>
        <v>72</v>
      </c>
      <c r="AC11" s="1">
        <v>399</v>
      </c>
      <c r="AD11" s="19">
        <f>(AC11-AA11)*E10*F10-0.2967</f>
        <v>69</v>
      </c>
      <c r="AE11" s="1">
        <v>458</v>
      </c>
      <c r="AF11" s="1">
        <f>(AE11-AC11)*E10*F10-0.2537</f>
        <v>58.99999999999999</v>
      </c>
    </row>
    <row r="12" spans="1:32" ht="15" customHeight="1">
      <c r="A12" s="29"/>
      <c r="B12" s="20">
        <v>29</v>
      </c>
      <c r="C12" s="24">
        <v>562013</v>
      </c>
      <c r="D12" s="24" t="s">
        <v>16</v>
      </c>
      <c r="E12" s="24">
        <v>30</v>
      </c>
      <c r="F12" s="27">
        <v>1.0043</v>
      </c>
      <c r="G12" s="1" t="s">
        <v>17</v>
      </c>
      <c r="H12" s="1">
        <v>11492</v>
      </c>
      <c r="I12" s="1">
        <v>11672</v>
      </c>
      <c r="J12" s="10">
        <f>(I12-H12)*E12*F12-0.22</f>
        <v>5423</v>
      </c>
      <c r="K12" s="1">
        <v>11843</v>
      </c>
      <c r="L12" s="10">
        <f>(K12-I12)*E12*F12</f>
        <v>5152.059</v>
      </c>
      <c r="M12" s="1">
        <v>11996</v>
      </c>
      <c r="N12" s="10">
        <f>(M12-K12)*E12*F12</f>
        <v>4609.737</v>
      </c>
      <c r="O12" s="1">
        <v>12080</v>
      </c>
      <c r="P12" s="10">
        <f>(O12-M12)*E12*F12+0.16</f>
        <v>2530.9959999999996</v>
      </c>
      <c r="Q12" s="1">
        <f>12212-45.2</f>
        <v>12166.8</v>
      </c>
      <c r="R12" s="10">
        <f>(Q12-O12)*E12*F12-0.2</f>
        <v>2614.997199999978</v>
      </c>
      <c r="S12" s="22" t="s">
        <v>40</v>
      </c>
      <c r="T12" s="15">
        <v>0</v>
      </c>
      <c r="U12" s="1"/>
      <c r="V12" s="10">
        <v>0</v>
      </c>
      <c r="W12" s="1"/>
      <c r="X12" s="10">
        <f>(W12-U12)*E12*F12</f>
        <v>0</v>
      </c>
      <c r="Y12" s="1"/>
      <c r="Z12" s="19">
        <f>(Y12-W12)*E12*F12</f>
        <v>0</v>
      </c>
      <c r="AA12" s="1"/>
      <c r="AB12" s="1">
        <f>(AA12-Y12)*E12*F12</f>
        <v>0</v>
      </c>
      <c r="AC12" s="1"/>
      <c r="AD12" s="19">
        <f>(AC12-AA12)*E12*F12</f>
        <v>0</v>
      </c>
      <c r="AE12" s="1"/>
      <c r="AF12" s="1">
        <f>(AE12-AC12)*E12*F12</f>
        <v>0</v>
      </c>
    </row>
    <row r="13" spans="1:32" ht="15">
      <c r="A13" s="29"/>
      <c r="B13" s="21"/>
      <c r="C13" s="24"/>
      <c r="D13" s="24"/>
      <c r="E13" s="24"/>
      <c r="F13" s="24"/>
      <c r="G13" s="1" t="s">
        <v>18</v>
      </c>
      <c r="H13" s="1">
        <v>10540</v>
      </c>
      <c r="I13" s="1">
        <v>10715</v>
      </c>
      <c r="J13" s="10">
        <f>(I13-H13)*E12*F12+0.43</f>
        <v>5273.005</v>
      </c>
      <c r="K13" s="1">
        <v>10878</v>
      </c>
      <c r="L13" s="10">
        <f>(K13-I13)*E12*F12</f>
        <v>4911.027</v>
      </c>
      <c r="M13" s="1">
        <v>11032</v>
      </c>
      <c r="N13" s="10">
        <f>(M13-K13)*E12*F12</f>
        <v>4639.866</v>
      </c>
      <c r="O13" s="1">
        <v>11118</v>
      </c>
      <c r="P13" s="10">
        <f>(O13-M13)*E12*F12-0.094</f>
        <v>2591</v>
      </c>
      <c r="Q13" s="1">
        <f>11227-20.1333</f>
        <v>11206.8667</v>
      </c>
      <c r="R13" s="10">
        <f>(Q13-O13)*E12*F12-0.46</f>
        <v>2677.0048043000147</v>
      </c>
      <c r="S13" s="23"/>
      <c r="T13" s="15">
        <v>0</v>
      </c>
      <c r="U13" s="1"/>
      <c r="V13" s="10">
        <f>(U13-S13)*E12*F12</f>
        <v>0</v>
      </c>
      <c r="W13" s="1"/>
      <c r="X13" s="10">
        <f>(W13-U13)*E12*F12</f>
        <v>0</v>
      </c>
      <c r="Y13" s="1"/>
      <c r="Z13" s="19">
        <f>(Y13-W13)*E12*F12</f>
        <v>0</v>
      </c>
      <c r="AA13" s="1"/>
      <c r="AB13" s="1">
        <f>(AA13-Y13)*E12*F12</f>
        <v>0</v>
      </c>
      <c r="AC13" s="1"/>
      <c r="AD13" s="19">
        <f>(AC13-AA13)*E12*F12</f>
        <v>0</v>
      </c>
      <c r="AE13" s="1"/>
      <c r="AF13" s="1">
        <f>(AE13-AC13)*E12*F12</f>
        <v>0</v>
      </c>
    </row>
    <row r="14" spans="1:32" ht="15">
      <c r="A14" s="29"/>
      <c r="B14" s="20">
        <v>4</v>
      </c>
      <c r="C14" s="24">
        <v>22005838</v>
      </c>
      <c r="D14" s="24" t="s">
        <v>16</v>
      </c>
      <c r="E14" s="24">
        <v>30</v>
      </c>
      <c r="F14" s="27">
        <v>1.0043</v>
      </c>
      <c r="G14" s="1" t="s">
        <v>17</v>
      </c>
      <c r="H14" s="1"/>
      <c r="I14" s="1"/>
      <c r="J14" s="10"/>
      <c r="K14" s="1"/>
      <c r="L14" s="10"/>
      <c r="M14" s="1"/>
      <c r="N14" s="10"/>
      <c r="O14" s="1"/>
      <c r="P14" s="10"/>
      <c r="Q14" s="1">
        <v>1</v>
      </c>
      <c r="R14" s="10">
        <v>0</v>
      </c>
      <c r="S14" s="1">
        <v>76</v>
      </c>
      <c r="T14" s="15">
        <f>(S14-Q14)*E14*F14+0.325</f>
        <v>2259.9999999999995</v>
      </c>
      <c r="U14" s="1">
        <v>187</v>
      </c>
      <c r="V14" s="10">
        <f>(U14-S14)*E14*F14-0.319</f>
        <v>3344</v>
      </c>
      <c r="W14" s="1">
        <v>290</v>
      </c>
      <c r="X14" s="10">
        <f>(W14-U14)*E14*F14-0.287</f>
        <v>3103</v>
      </c>
      <c r="Y14" s="1">
        <v>450</v>
      </c>
      <c r="Z14" s="15">
        <f>(Y14-W14)*E14*F14+0.36</f>
        <v>4820.999999999999</v>
      </c>
      <c r="AA14" s="1">
        <v>600</v>
      </c>
      <c r="AB14" s="10">
        <f>(AA14-Y14)*E14*F14-0.35</f>
        <v>4518.999999999999</v>
      </c>
      <c r="AC14" s="1">
        <v>768</v>
      </c>
      <c r="AD14" s="15">
        <f>(AC14-AA14)*E14*F14+0.328</f>
        <v>5062</v>
      </c>
      <c r="AE14" s="1">
        <v>885</v>
      </c>
      <c r="AF14" s="1">
        <f>(AE14-AC14)*E14*F14-0.093</f>
        <v>3525</v>
      </c>
    </row>
    <row r="15" spans="1:32" ht="15">
      <c r="A15" s="29"/>
      <c r="B15" s="21"/>
      <c r="C15" s="24"/>
      <c r="D15" s="24"/>
      <c r="E15" s="24"/>
      <c r="F15" s="24"/>
      <c r="G15" s="1" t="s">
        <v>18</v>
      </c>
      <c r="H15" s="1"/>
      <c r="I15" s="1"/>
      <c r="J15" s="10"/>
      <c r="K15" s="1"/>
      <c r="L15" s="10"/>
      <c r="M15" s="1"/>
      <c r="N15" s="10"/>
      <c r="O15" s="1"/>
      <c r="P15" s="10"/>
      <c r="Q15" s="1">
        <v>1</v>
      </c>
      <c r="R15" s="10">
        <v>0</v>
      </c>
      <c r="S15" s="1">
        <v>76</v>
      </c>
      <c r="T15" s="15">
        <f>(S15-Q15)*E14*F14+0.325</f>
        <v>2259.9999999999995</v>
      </c>
      <c r="U15" s="1">
        <v>189</v>
      </c>
      <c r="V15" s="10">
        <f>(U15-S15)*E14*F14+0.423</f>
        <v>3404.9999999999995</v>
      </c>
      <c r="W15" s="1">
        <v>277</v>
      </c>
      <c r="X15" s="10">
        <f>(W15-U15)*E14*F14-0.352</f>
        <v>2651</v>
      </c>
      <c r="Y15" s="1">
        <v>417</v>
      </c>
      <c r="Z15" s="15">
        <f>(Y15-W15)*E14*F14-0.06</f>
        <v>4217.999999999999</v>
      </c>
      <c r="AA15" s="1">
        <v>567</v>
      </c>
      <c r="AB15" s="10">
        <f>(AA15-Y15)*E14*F14-0.35</f>
        <v>4518.999999999999</v>
      </c>
      <c r="AC15" s="1">
        <v>717</v>
      </c>
      <c r="AD15" s="15">
        <f>(AC15-AA15)*E14*F14-0.35</f>
        <v>4518.999999999999</v>
      </c>
      <c r="AE15" s="1">
        <v>835</v>
      </c>
      <c r="AF15" s="1">
        <f>(AE15-AC15)*E14*F14-0.222</f>
        <v>3554.9999999999995</v>
      </c>
    </row>
    <row r="16" spans="1:32" ht="15" customHeight="1">
      <c r="A16" s="29"/>
      <c r="B16" s="20">
        <v>28</v>
      </c>
      <c r="C16" s="24">
        <v>471160</v>
      </c>
      <c r="D16" s="24" t="s">
        <v>16</v>
      </c>
      <c r="E16" s="24">
        <v>20</v>
      </c>
      <c r="F16" s="27">
        <v>1.0043</v>
      </c>
      <c r="G16" s="1" t="s">
        <v>17</v>
      </c>
      <c r="H16" s="1">
        <v>8294</v>
      </c>
      <c r="I16" s="1">
        <v>8360</v>
      </c>
      <c r="J16" s="10">
        <f>(I16-H16)*E16*F16+0.32</f>
        <v>1325.9959999999999</v>
      </c>
      <c r="K16" s="1">
        <v>8419</v>
      </c>
      <c r="L16" s="10">
        <f>(K16-I16)*E16*F16</f>
        <v>1185.074</v>
      </c>
      <c r="M16" s="1">
        <v>8465</v>
      </c>
      <c r="N16" s="10">
        <f>(M16-K16)*E16*F16</f>
        <v>923.956</v>
      </c>
      <c r="O16" s="1">
        <v>8491</v>
      </c>
      <c r="P16" s="10">
        <f>(O16-M16)*E16*F16-0.24</f>
        <v>521.996</v>
      </c>
      <c r="Q16" s="14">
        <f>8531-13.1335</f>
        <v>8517.8665</v>
      </c>
      <c r="R16" s="10">
        <f>(Q16-O16)*E16*F16+0.36</f>
        <v>540.0005190000018</v>
      </c>
      <c r="S16" s="22" t="s">
        <v>40</v>
      </c>
      <c r="T16" s="15">
        <v>0</v>
      </c>
      <c r="U16" s="1"/>
      <c r="V16" s="10">
        <v>0</v>
      </c>
      <c r="W16" s="1"/>
      <c r="X16" s="10">
        <f>(W16-U16)*E16*F16</f>
        <v>0</v>
      </c>
      <c r="Y16" s="1"/>
      <c r="Z16" s="19">
        <f>(Y16-W16)*E16*F16</f>
        <v>0</v>
      </c>
      <c r="AA16" s="1"/>
      <c r="AB16" s="1">
        <f>(AA16-Y16)*E16*F16</f>
        <v>0</v>
      </c>
      <c r="AC16" s="1"/>
      <c r="AD16" s="19">
        <f>(AC16-AA16)*E16*F16</f>
        <v>0</v>
      </c>
      <c r="AE16" s="1"/>
      <c r="AF16" s="1">
        <f>(AE16-AC16)*E16*F16</f>
        <v>0</v>
      </c>
    </row>
    <row r="17" spans="1:32" ht="15">
      <c r="A17" s="29"/>
      <c r="B17" s="21"/>
      <c r="C17" s="24"/>
      <c r="D17" s="24"/>
      <c r="E17" s="24"/>
      <c r="F17" s="24"/>
      <c r="G17" s="1" t="s">
        <v>18</v>
      </c>
      <c r="H17" s="1">
        <v>7844</v>
      </c>
      <c r="I17" s="1">
        <v>7900</v>
      </c>
      <c r="J17" s="10">
        <f>(I17-H17)*E16*F16+0.12</f>
        <v>1124.936</v>
      </c>
      <c r="K17" s="1">
        <v>7958</v>
      </c>
      <c r="L17" s="10">
        <f>(K17-I17)*E16*F16</f>
        <v>1164.988</v>
      </c>
      <c r="M17" s="1">
        <v>8000</v>
      </c>
      <c r="N17" s="10">
        <f>(M17-K17)*E16*F16</f>
        <v>843.612</v>
      </c>
      <c r="O17" s="1">
        <v>8095</v>
      </c>
      <c r="P17" s="10">
        <f>(O17-M17)*E16*F16-0.17</f>
        <v>1907.9999999999998</v>
      </c>
      <c r="Q17" s="14">
        <f>8110+83.1665</f>
        <v>8193.1665</v>
      </c>
      <c r="R17" s="10">
        <f>(Q17-O17)*E16*F16+0.22</f>
        <v>1971.9923189999872</v>
      </c>
      <c r="S17" s="23"/>
      <c r="T17" s="15">
        <v>0</v>
      </c>
      <c r="U17" s="1"/>
      <c r="V17" s="10">
        <f>(U17-S17)*E16*F16</f>
        <v>0</v>
      </c>
      <c r="W17" s="1"/>
      <c r="X17" s="10">
        <f>(W17-U17)*E16*F16</f>
        <v>0</v>
      </c>
      <c r="Y17" s="1"/>
      <c r="Z17" s="19">
        <f>(Y17-W17)*E16*F16</f>
        <v>0</v>
      </c>
      <c r="AA17" s="1"/>
      <c r="AB17" s="1">
        <f>(AA17-Y17)*E16*F16</f>
        <v>0</v>
      </c>
      <c r="AC17" s="1"/>
      <c r="AD17" s="19">
        <f>(AC17-AA17)*E16*F16</f>
        <v>0</v>
      </c>
      <c r="AE17" s="1"/>
      <c r="AF17" s="1">
        <f>(AE17-AC17)*E16*F16</f>
        <v>0</v>
      </c>
    </row>
    <row r="18" spans="1:32" ht="15">
      <c r="A18" s="29"/>
      <c r="B18" s="20">
        <v>5</v>
      </c>
      <c r="C18" s="24">
        <v>21693041</v>
      </c>
      <c r="D18" s="24" t="s">
        <v>16</v>
      </c>
      <c r="E18" s="24">
        <v>30</v>
      </c>
      <c r="F18" s="27">
        <v>1.0043</v>
      </c>
      <c r="G18" s="1" t="s">
        <v>17</v>
      </c>
      <c r="H18" s="1"/>
      <c r="I18" s="1"/>
      <c r="J18" s="10"/>
      <c r="K18" s="1"/>
      <c r="L18" s="10"/>
      <c r="M18" s="1"/>
      <c r="N18" s="10"/>
      <c r="O18" s="1"/>
      <c r="P18" s="10"/>
      <c r="Q18" s="14">
        <v>1</v>
      </c>
      <c r="R18" s="10">
        <v>0</v>
      </c>
      <c r="S18" s="1">
        <v>32</v>
      </c>
      <c r="T18" s="15">
        <f>(S18-Q18)*E18*F18+0.001</f>
        <v>934</v>
      </c>
      <c r="U18" s="1">
        <v>72</v>
      </c>
      <c r="V18" s="10">
        <f>(U18-S18)*E18*F18-0.16</f>
        <v>1204.9999999999998</v>
      </c>
      <c r="W18" s="1">
        <v>116</v>
      </c>
      <c r="X18" s="10">
        <f>(W18-U18)*E18*F18+0.324</f>
        <v>1326</v>
      </c>
      <c r="Y18" s="1">
        <v>171</v>
      </c>
      <c r="Z18" s="19">
        <f>(Y18-W18)*E18*F18-0.095</f>
        <v>1657</v>
      </c>
      <c r="AA18" s="1">
        <v>229</v>
      </c>
      <c r="AB18" s="15">
        <f>(AA18-Y18)*E18*F18+0.518</f>
        <v>1748</v>
      </c>
      <c r="AC18" s="1">
        <v>299</v>
      </c>
      <c r="AD18" s="15">
        <f>(AC18-AA18)*E18*F18-0.03</f>
        <v>2108.9999999999995</v>
      </c>
      <c r="AE18" s="1">
        <v>345</v>
      </c>
      <c r="AF18" s="1">
        <f>(AE18-AC18)*E18*F18+0.066</f>
        <v>1386</v>
      </c>
    </row>
    <row r="19" spans="1:32" ht="15">
      <c r="A19" s="29"/>
      <c r="B19" s="21"/>
      <c r="C19" s="24"/>
      <c r="D19" s="24"/>
      <c r="E19" s="24"/>
      <c r="F19" s="24"/>
      <c r="G19" s="1" t="s">
        <v>18</v>
      </c>
      <c r="H19" s="1"/>
      <c r="I19" s="1"/>
      <c r="J19" s="10"/>
      <c r="K19" s="1"/>
      <c r="L19" s="10"/>
      <c r="M19" s="1"/>
      <c r="N19" s="10"/>
      <c r="O19" s="1"/>
      <c r="P19" s="10"/>
      <c r="Q19" s="14">
        <v>1</v>
      </c>
      <c r="R19" s="10">
        <v>0</v>
      </c>
      <c r="S19" s="1">
        <v>78</v>
      </c>
      <c r="T19" s="15">
        <f>(S19-Q19)*E18*F18+0.067</f>
        <v>2320</v>
      </c>
      <c r="U19" s="1">
        <f>67+11</f>
        <v>78</v>
      </c>
      <c r="V19" s="15">
        <f>(U19-S19)*E18*F18</f>
        <v>0</v>
      </c>
      <c r="W19" s="1">
        <v>102</v>
      </c>
      <c r="X19" s="10">
        <f>(W19-U19)*E18*F18-0.096</f>
        <v>723</v>
      </c>
      <c r="Y19" s="1">
        <v>146</v>
      </c>
      <c r="Z19" s="15">
        <f>(Y19-W19)*E18*F18+0.324</f>
        <v>1326</v>
      </c>
      <c r="AA19" s="1">
        <v>203</v>
      </c>
      <c r="AB19" s="1">
        <f>(AA19-Y19)*E18*F18-0.353</f>
        <v>1716.9999999999998</v>
      </c>
      <c r="AC19" s="1">
        <v>259</v>
      </c>
      <c r="AD19" s="19">
        <f>(AC19-AA19)*E18*F18-0.224</f>
        <v>1687</v>
      </c>
      <c r="AE19" s="1">
        <v>300</v>
      </c>
      <c r="AF19" s="1">
        <f>(AE19-AC19)*E18*F18-0.289</f>
        <v>1235</v>
      </c>
    </row>
    <row r="20" spans="1:32" ht="15" customHeight="1">
      <c r="A20" s="29"/>
      <c r="B20" s="20">
        <v>19</v>
      </c>
      <c r="C20" s="24">
        <v>497689</v>
      </c>
      <c r="D20" s="24" t="s">
        <v>16</v>
      </c>
      <c r="E20" s="24">
        <v>30</v>
      </c>
      <c r="F20" s="27">
        <v>1.0043</v>
      </c>
      <c r="G20" s="1" t="s">
        <v>17</v>
      </c>
      <c r="H20" s="1">
        <v>6723</v>
      </c>
      <c r="I20" s="1">
        <v>6807</v>
      </c>
      <c r="J20" s="10">
        <f>(I20-H20)*E20*F20+0.16</f>
        <v>2530.9959999999996</v>
      </c>
      <c r="K20" s="1">
        <v>6882</v>
      </c>
      <c r="L20" s="10">
        <f>(K20-I20)*E20*F20</f>
        <v>2259.6749999999997</v>
      </c>
      <c r="M20" s="1">
        <v>6948</v>
      </c>
      <c r="N20" s="10">
        <f>(M20-K20)*E20*F20</f>
        <v>1988.514</v>
      </c>
      <c r="O20" s="1">
        <v>6992</v>
      </c>
      <c r="P20" s="10">
        <f>(O20-M20)*E20*F20+0.32</f>
        <v>1325.9959999999999</v>
      </c>
      <c r="Q20" s="14">
        <f>7055-17.5333</f>
        <v>7037.4667</v>
      </c>
      <c r="R20" s="10">
        <f>(Q20-O20)*E20*F20+0.13</f>
        <v>1369.9962042999985</v>
      </c>
      <c r="S20" s="22" t="s">
        <v>40</v>
      </c>
      <c r="T20" s="15">
        <v>0</v>
      </c>
      <c r="U20" s="1"/>
      <c r="V20" s="10">
        <v>0</v>
      </c>
      <c r="W20" s="1"/>
      <c r="X20" s="10">
        <f>(W20-U20)*E20*F20</f>
        <v>0</v>
      </c>
      <c r="Y20" s="1"/>
      <c r="Z20" s="19">
        <f>(Y20-W20)*E20*F20</f>
        <v>0</v>
      </c>
      <c r="AA20" s="1"/>
      <c r="AB20" s="1">
        <f>(AA20-Y20)*E20*F20</f>
        <v>0</v>
      </c>
      <c r="AC20" s="1"/>
      <c r="AD20" s="19">
        <f>(AC20-AA20)*E20*F20</f>
        <v>0</v>
      </c>
      <c r="AE20" s="1"/>
      <c r="AF20" s="1">
        <f>(AE20-AC20)*E20*F20</f>
        <v>0</v>
      </c>
    </row>
    <row r="21" spans="1:32" ht="15">
      <c r="A21" s="29"/>
      <c r="B21" s="21"/>
      <c r="C21" s="24"/>
      <c r="D21" s="24"/>
      <c r="E21" s="24"/>
      <c r="F21" s="24"/>
      <c r="G21" s="1" t="s">
        <v>18</v>
      </c>
      <c r="H21" s="1">
        <v>5589</v>
      </c>
      <c r="I21" s="1">
        <v>5678</v>
      </c>
      <c r="J21" s="10">
        <f>(I21-H21)*E20*F20+0.52</f>
        <v>2682.0009999999997</v>
      </c>
      <c r="K21" s="1">
        <v>5743</v>
      </c>
      <c r="L21" s="10">
        <f>(K21-I21)*E20*F20</f>
        <v>1958.385</v>
      </c>
      <c r="M21" s="1">
        <v>5803</v>
      </c>
      <c r="N21" s="10">
        <f>(M21-K21)*E20*F20</f>
        <v>1807.74</v>
      </c>
      <c r="O21" s="1">
        <v>5839</v>
      </c>
      <c r="P21" s="10">
        <f>(O21-M21)*E20*F20+0.356</f>
        <v>1085</v>
      </c>
      <c r="Q21" s="1">
        <f>5886-9.8</f>
        <v>5876.2</v>
      </c>
      <c r="R21" s="10">
        <f>(Q21-O21)*E20*F20</f>
        <v>1120.7987999999946</v>
      </c>
      <c r="S21" s="23"/>
      <c r="T21" s="15">
        <v>0</v>
      </c>
      <c r="U21" s="1"/>
      <c r="V21" s="10">
        <f>(U21-S21)*E20*F20</f>
        <v>0</v>
      </c>
      <c r="W21" s="1"/>
      <c r="X21" s="10">
        <f>(W21-U21)*E20*F20</f>
        <v>0</v>
      </c>
      <c r="Y21" s="1"/>
      <c r="Z21" s="19">
        <f>(Y21-W21)*E20*F20</f>
        <v>0</v>
      </c>
      <c r="AA21" s="1"/>
      <c r="AB21" s="1">
        <f>(AA21-Y21)*E20*F20</f>
        <v>0</v>
      </c>
      <c r="AC21" s="1"/>
      <c r="AD21" s="19">
        <f>(AC21-AA21)*E20*F20</f>
        <v>0</v>
      </c>
      <c r="AE21" s="1"/>
      <c r="AF21" s="1">
        <f>(AE21-AC21)*E20*F20</f>
        <v>0</v>
      </c>
    </row>
    <row r="22" spans="1:32" ht="15">
      <c r="A22" s="29"/>
      <c r="B22" s="20">
        <v>12</v>
      </c>
      <c r="C22" s="24">
        <v>21703109</v>
      </c>
      <c r="D22" s="24" t="s">
        <v>16</v>
      </c>
      <c r="E22" s="24">
        <v>30</v>
      </c>
      <c r="F22" s="27">
        <v>1.0043</v>
      </c>
      <c r="G22" s="1" t="s">
        <v>17</v>
      </c>
      <c r="H22" s="1"/>
      <c r="I22" s="1"/>
      <c r="J22" s="10"/>
      <c r="K22" s="1"/>
      <c r="L22" s="10"/>
      <c r="M22" s="1"/>
      <c r="N22" s="10"/>
      <c r="O22" s="1"/>
      <c r="P22" s="10"/>
      <c r="Q22" s="1">
        <v>1</v>
      </c>
      <c r="R22" s="10">
        <v>0</v>
      </c>
      <c r="S22" s="1">
        <v>46</v>
      </c>
      <c r="T22" s="15">
        <f>(S22-Q22)*E22*F22+0.195</f>
        <v>1356</v>
      </c>
      <c r="U22" s="1">
        <v>101</v>
      </c>
      <c r="V22" s="10">
        <f>(U22-S22)*E22*F22-0.095</f>
        <v>1657</v>
      </c>
      <c r="W22" s="1">
        <v>153</v>
      </c>
      <c r="X22" s="15">
        <f>(W22-U22)*E22*F22+0.292</f>
        <v>1566.9999999999998</v>
      </c>
      <c r="Y22" s="1">
        <v>218</v>
      </c>
      <c r="Z22" s="15">
        <f>(Y22-W22)*E22*F22-0.385</f>
        <v>1958</v>
      </c>
      <c r="AA22" s="1">
        <v>283</v>
      </c>
      <c r="AB22" s="10">
        <f>(AA22-Y22)*E22*F22-0.385</f>
        <v>1958</v>
      </c>
      <c r="AC22" s="1">
        <v>356</v>
      </c>
      <c r="AD22" s="19">
        <f>(AC22-AA22)*E22*F22-0.417</f>
        <v>2199</v>
      </c>
      <c r="AE22" s="1">
        <v>406</v>
      </c>
      <c r="AF22" s="10">
        <f>(AE22-AC22)*E22*F22-0.45</f>
        <v>1506</v>
      </c>
    </row>
    <row r="23" spans="1:32" ht="15">
      <c r="A23" s="29"/>
      <c r="B23" s="21"/>
      <c r="C23" s="24"/>
      <c r="D23" s="24"/>
      <c r="E23" s="24"/>
      <c r="F23" s="24"/>
      <c r="G23" s="1" t="s">
        <v>18</v>
      </c>
      <c r="H23" s="1"/>
      <c r="I23" s="1"/>
      <c r="J23" s="10"/>
      <c r="K23" s="1"/>
      <c r="L23" s="10"/>
      <c r="M23" s="1"/>
      <c r="N23" s="10"/>
      <c r="O23" s="1"/>
      <c r="P23" s="10"/>
      <c r="Q23" s="1">
        <v>1</v>
      </c>
      <c r="R23" s="10">
        <v>0</v>
      </c>
      <c r="S23" s="1">
        <v>42</v>
      </c>
      <c r="T23" s="15">
        <f>(S23-Q23)*E22*F22-0.289</f>
        <v>1235</v>
      </c>
      <c r="U23" s="1">
        <v>90</v>
      </c>
      <c r="V23" s="10">
        <f>(U23-S23)*E22*F22-0.192</f>
        <v>1446</v>
      </c>
      <c r="W23" s="1">
        <v>137</v>
      </c>
      <c r="X23" s="10">
        <f>(W23-U23)*E22*F22-0.063</f>
        <v>1415.9999999999998</v>
      </c>
      <c r="Y23" s="1">
        <v>198</v>
      </c>
      <c r="Z23" s="15">
        <f>(Y23-W23)*E22*F22+0.131</f>
        <v>1838</v>
      </c>
      <c r="AA23" s="1">
        <v>261</v>
      </c>
      <c r="AB23" s="1">
        <f>(AA23-Y23)*E22*F22-0.127</f>
        <v>1898</v>
      </c>
      <c r="AC23" s="1">
        <v>324</v>
      </c>
      <c r="AD23" s="19">
        <f>(AC23-AA23)*E22*F22-0.127</f>
        <v>1898</v>
      </c>
      <c r="AE23" s="1">
        <v>370</v>
      </c>
      <c r="AF23" s="1">
        <f>(AE23-AC23)*E22*F22+0.066</f>
        <v>1386</v>
      </c>
    </row>
    <row r="24" spans="1:32" ht="15" customHeight="1">
      <c r="A24" s="29"/>
      <c r="B24" s="20">
        <v>18</v>
      </c>
      <c r="C24" s="24">
        <v>411171</v>
      </c>
      <c r="D24" s="24" t="s">
        <v>16</v>
      </c>
      <c r="E24" s="24">
        <v>30</v>
      </c>
      <c r="F24" s="27">
        <v>1.0043</v>
      </c>
      <c r="G24" s="1" t="s">
        <v>17</v>
      </c>
      <c r="H24" s="1">
        <v>8790</v>
      </c>
      <c r="I24" s="1">
        <v>8951</v>
      </c>
      <c r="J24" s="10">
        <f>(I24-H24)*E24*F24+0.23</f>
        <v>4850.999</v>
      </c>
      <c r="K24" s="1">
        <v>9093</v>
      </c>
      <c r="L24" s="10">
        <f>(K24-I24)*E24*F24</f>
        <v>4278.318</v>
      </c>
      <c r="M24" s="1">
        <v>9210</v>
      </c>
      <c r="N24" s="10">
        <f>(M24-K24)*E24*F24</f>
        <v>3525.093</v>
      </c>
      <c r="O24" s="1">
        <v>9269</v>
      </c>
      <c r="P24" s="10">
        <f>(O24-M24)*E24*F24-0.61</f>
        <v>1777.001</v>
      </c>
      <c r="Q24" s="14">
        <f>9357-27.0334</f>
        <v>9329.9666</v>
      </c>
      <c r="R24" s="10">
        <f>(Q24-O24)*E24*F24</f>
        <v>1836.8626913999922</v>
      </c>
      <c r="S24" s="22" t="s">
        <v>40</v>
      </c>
      <c r="T24" s="15">
        <v>0</v>
      </c>
      <c r="U24" s="1"/>
      <c r="V24" s="10">
        <v>0</v>
      </c>
      <c r="W24" s="1"/>
      <c r="X24" s="10">
        <f>(W24-U24)*E24*F24</f>
        <v>0</v>
      </c>
      <c r="Y24" s="1"/>
      <c r="Z24" s="19">
        <f>(Y24-W24)*E24*F24</f>
        <v>0</v>
      </c>
      <c r="AA24" s="1"/>
      <c r="AB24" s="1">
        <f>(AA24-Y24)*E24*F24</f>
        <v>0</v>
      </c>
      <c r="AC24" s="1"/>
      <c r="AD24" s="19">
        <f>(AC24-AA24)*E24*F24</f>
        <v>0</v>
      </c>
      <c r="AE24" s="1"/>
      <c r="AF24" s="1">
        <f>(AE24-AC24)*E24*F24</f>
        <v>0</v>
      </c>
    </row>
    <row r="25" spans="1:32" ht="15">
      <c r="A25" s="29"/>
      <c r="B25" s="21"/>
      <c r="C25" s="24"/>
      <c r="D25" s="24"/>
      <c r="E25" s="24"/>
      <c r="F25" s="24"/>
      <c r="G25" s="1" t="s">
        <v>18</v>
      </c>
      <c r="H25" s="1">
        <v>7444</v>
      </c>
      <c r="I25" s="1">
        <v>7616</v>
      </c>
      <c r="J25" s="10">
        <f>(I25-H25)*E24*F24-0.19</f>
        <v>5181.9980000000005</v>
      </c>
      <c r="K25" s="1">
        <v>7757</v>
      </c>
      <c r="L25" s="10">
        <f>(K25-I25)*E24*F24</f>
        <v>4248.189</v>
      </c>
      <c r="M25" s="1">
        <v>7882</v>
      </c>
      <c r="N25" s="10">
        <f>(M25-K25)*E24*F24</f>
        <v>3766.125</v>
      </c>
      <c r="O25" s="1">
        <v>7948</v>
      </c>
      <c r="P25" s="10">
        <f>(O25-M25)*E24*F24+0.486</f>
        <v>1989</v>
      </c>
      <c r="Q25" s="1">
        <f>8030-13.8</f>
        <v>8016.2</v>
      </c>
      <c r="R25" s="10">
        <f>(Q25-O25)*E24*F24+0.2</f>
        <v>2054.997799999994</v>
      </c>
      <c r="S25" s="23"/>
      <c r="T25" s="15">
        <v>0</v>
      </c>
      <c r="U25" s="1"/>
      <c r="V25" s="10">
        <f>(U25-S25)*E24*F24</f>
        <v>0</v>
      </c>
      <c r="W25" s="1"/>
      <c r="X25" s="10">
        <f>(W25-U25)*E24*F24</f>
        <v>0</v>
      </c>
      <c r="Y25" s="1"/>
      <c r="Z25" s="19">
        <f>(Y25-W25)*E24*F24</f>
        <v>0</v>
      </c>
      <c r="AA25" s="1"/>
      <c r="AB25" s="1">
        <f>(AA25-Y25)*E24*F24</f>
        <v>0</v>
      </c>
      <c r="AC25" s="1"/>
      <c r="AD25" s="19">
        <f>(AC25-AA25)*E24*F24</f>
        <v>0</v>
      </c>
      <c r="AE25" s="1"/>
      <c r="AF25" s="1">
        <f>(AE25-AC25)*E24*F24</f>
        <v>0</v>
      </c>
    </row>
    <row r="26" spans="1:32" ht="15">
      <c r="A26" s="29"/>
      <c r="B26" s="20">
        <v>11</v>
      </c>
      <c r="C26" s="24">
        <v>322222</v>
      </c>
      <c r="D26" s="24" t="s">
        <v>16</v>
      </c>
      <c r="E26" s="24">
        <v>30</v>
      </c>
      <c r="F26" s="27">
        <v>1.0043</v>
      </c>
      <c r="G26" s="1" t="s">
        <v>17</v>
      </c>
      <c r="H26" s="1"/>
      <c r="I26" s="1"/>
      <c r="J26" s="10"/>
      <c r="K26" s="1"/>
      <c r="L26" s="10"/>
      <c r="M26" s="1"/>
      <c r="N26" s="10"/>
      <c r="O26" s="1"/>
      <c r="P26" s="10"/>
      <c r="Q26" s="1">
        <v>1</v>
      </c>
      <c r="R26" s="10">
        <v>0</v>
      </c>
      <c r="S26" s="1">
        <v>44</v>
      </c>
      <c r="T26" s="15">
        <f>(S26-Q26)*E26*F26-0.547</f>
        <v>1295</v>
      </c>
      <c r="U26" s="1">
        <v>122</v>
      </c>
      <c r="V26" s="10">
        <f>(U26-S26)*E26*F26-0.062</f>
        <v>2350</v>
      </c>
      <c r="W26" s="1">
        <v>205</v>
      </c>
      <c r="X26" s="10">
        <f>(W26-U26)*E26*F26+0.293</f>
        <v>2501</v>
      </c>
      <c r="Y26" s="1">
        <v>315</v>
      </c>
      <c r="Z26" s="15">
        <f>(Y26-W26)*E26*F26-0.19</f>
        <v>3314</v>
      </c>
      <c r="AA26" s="1">
        <v>424</v>
      </c>
      <c r="AB26" s="1">
        <f>(AA26-Y26)*E26*F26-0.061</f>
        <v>3283.9999999999995</v>
      </c>
      <c r="AC26" s="1">
        <v>547</v>
      </c>
      <c r="AD26" s="19">
        <f>(AC26-AA26)*E26*F26+0.133</f>
        <v>3705.9999999999995</v>
      </c>
      <c r="AE26" s="1">
        <v>629</v>
      </c>
      <c r="AF26" s="1">
        <f>(AE26-AC26)*E26*F26+0.422</f>
        <v>2471</v>
      </c>
    </row>
    <row r="27" spans="1:32" ht="15">
      <c r="A27" s="29"/>
      <c r="B27" s="21"/>
      <c r="C27" s="24"/>
      <c r="D27" s="24"/>
      <c r="E27" s="24"/>
      <c r="F27" s="24"/>
      <c r="G27" s="1" t="s">
        <v>18</v>
      </c>
      <c r="H27" s="1"/>
      <c r="I27" s="1"/>
      <c r="J27" s="10"/>
      <c r="K27" s="1"/>
      <c r="L27" s="10"/>
      <c r="M27" s="1"/>
      <c r="N27" s="10"/>
      <c r="O27" s="1"/>
      <c r="P27" s="10"/>
      <c r="Q27" s="1">
        <v>1</v>
      </c>
      <c r="R27" s="10">
        <v>0</v>
      </c>
      <c r="S27" s="1">
        <v>46</v>
      </c>
      <c r="T27" s="15">
        <f>(S27-Q27)*E26*F26+0.195</f>
        <v>1356</v>
      </c>
      <c r="U27" s="1">
        <v>121</v>
      </c>
      <c r="V27" s="10">
        <f>(U27-S27)*E26*F26+0.325</f>
        <v>2259.9999999999995</v>
      </c>
      <c r="W27" s="1">
        <v>191</v>
      </c>
      <c r="X27" s="10">
        <f>(W27-U27)*E26*F26-0.03</f>
        <v>2108.9999999999995</v>
      </c>
      <c r="Y27" s="1">
        <v>290</v>
      </c>
      <c r="Z27" s="15">
        <f>(Y27-W27)*E26*F26+0.229</f>
        <v>2982.9999999999995</v>
      </c>
      <c r="AA27" s="1">
        <v>408</v>
      </c>
      <c r="AB27" s="1">
        <f>(AA27-Y27)*E26*F26-0.222</f>
        <v>3554.9999999999995</v>
      </c>
      <c r="AC27" s="1">
        <v>528</v>
      </c>
      <c r="AD27" s="15">
        <f>(AC27-AA27)*E26*F26+0.52</f>
        <v>3616</v>
      </c>
      <c r="AE27" s="1">
        <v>616</v>
      </c>
      <c r="AF27" s="1">
        <f>(AE27-AC27)*E26*F26-0.352</f>
        <v>2651</v>
      </c>
    </row>
    <row r="28" spans="1:32" ht="15" customHeight="1">
      <c r="A28" s="29"/>
      <c r="B28" s="20">
        <v>26</v>
      </c>
      <c r="C28" s="24">
        <v>534851</v>
      </c>
      <c r="D28" s="24" t="s">
        <v>21</v>
      </c>
      <c r="E28" s="24">
        <v>1</v>
      </c>
      <c r="F28" s="27">
        <v>1.0057</v>
      </c>
      <c r="G28" s="1" t="s">
        <v>17</v>
      </c>
      <c r="H28" s="1">
        <v>44664</v>
      </c>
      <c r="I28" s="1">
        <v>45130</v>
      </c>
      <c r="J28" s="10">
        <f>(I28-H28)*E28*F28+0.34</f>
        <v>468.9962</v>
      </c>
      <c r="K28" s="1">
        <v>45481</v>
      </c>
      <c r="L28" s="10">
        <f>(K28-I28)*E28*F28</f>
        <v>353.0007</v>
      </c>
      <c r="M28" s="1">
        <v>45812</v>
      </c>
      <c r="N28" s="10">
        <f>(M28-K28)*E28*F28</f>
        <v>332.8867</v>
      </c>
      <c r="O28" s="1">
        <v>45967</v>
      </c>
      <c r="P28" s="10">
        <f>(O28-M28)*E28*F28+0.12</f>
        <v>156.0035</v>
      </c>
      <c r="Q28" s="1">
        <f>46231-103.83</f>
        <v>46127.17</v>
      </c>
      <c r="R28" s="10">
        <f>(Q28-O28)*E28*F28-0.08</f>
        <v>161.00296899999825</v>
      </c>
      <c r="S28" s="22" t="s">
        <v>40</v>
      </c>
      <c r="T28" s="15">
        <v>0</v>
      </c>
      <c r="U28" s="1"/>
      <c r="V28" s="10">
        <v>0</v>
      </c>
      <c r="W28" s="1"/>
      <c r="X28" s="10">
        <f>(W28-U28)*E28*F28</f>
        <v>0</v>
      </c>
      <c r="Y28" s="1"/>
      <c r="Z28" s="19">
        <f>(Y28-W28)*E28*F28</f>
        <v>0</v>
      </c>
      <c r="AA28" s="1"/>
      <c r="AB28" s="1">
        <f>(AA28-Y28)*E28*F28</f>
        <v>0</v>
      </c>
      <c r="AC28" s="1"/>
      <c r="AD28" s="19">
        <f>(AC28-AA28)*E28*F28</f>
        <v>0</v>
      </c>
      <c r="AE28" s="1"/>
      <c r="AF28" s="1">
        <f>(AE28-AC28)*E28*F28</f>
        <v>0</v>
      </c>
    </row>
    <row r="29" spans="1:32" ht="15">
      <c r="A29" s="29"/>
      <c r="B29" s="21"/>
      <c r="C29" s="24"/>
      <c r="D29" s="24"/>
      <c r="E29" s="24"/>
      <c r="F29" s="24"/>
      <c r="G29" s="1" t="s">
        <v>18</v>
      </c>
      <c r="H29" s="1">
        <v>44022</v>
      </c>
      <c r="I29" s="1">
        <v>44570</v>
      </c>
      <c r="J29" s="10">
        <f>(I29-H29)*E28*F28-0.12</f>
        <v>551.0036</v>
      </c>
      <c r="K29" s="1">
        <v>44949</v>
      </c>
      <c r="L29" s="10">
        <f>(K29-I29)*E28*F28</f>
        <v>381.1603</v>
      </c>
      <c r="M29" s="1">
        <v>45318</v>
      </c>
      <c r="N29" s="10">
        <f>(M29-K29)*E28*F28</f>
        <v>371.1033</v>
      </c>
      <c r="O29" s="1">
        <v>45489</v>
      </c>
      <c r="P29" s="10">
        <f>(O29-M29)*E28*F28+0.025</f>
        <v>171.99970000000002</v>
      </c>
      <c r="Q29" s="14">
        <f>45772-106.3</f>
        <v>45665.7</v>
      </c>
      <c r="R29" s="10">
        <f>(Q29-O29)*E28*F28+0.29</f>
        <v>177.99718999999706</v>
      </c>
      <c r="S29" s="23"/>
      <c r="T29" s="15">
        <v>0</v>
      </c>
      <c r="U29" s="1"/>
      <c r="V29" s="10">
        <f>(U29-S29)*E28*F28</f>
        <v>0</v>
      </c>
      <c r="W29" s="1"/>
      <c r="X29" s="10">
        <f>(W29-U29)*E28*F28</f>
        <v>0</v>
      </c>
      <c r="Y29" s="1"/>
      <c r="Z29" s="19">
        <f>(Y29-W29)*E28*F28</f>
        <v>0</v>
      </c>
      <c r="AA29" s="1"/>
      <c r="AB29" s="1">
        <f>(AA29-Y29)*E28*F28</f>
        <v>0</v>
      </c>
      <c r="AC29" s="1"/>
      <c r="AD29" s="19">
        <f>(AC29-AA29)*E28*F28</f>
        <v>0</v>
      </c>
      <c r="AE29" s="1"/>
      <c r="AF29" s="1">
        <f>(AE29-AC29)*E28*F28</f>
        <v>0</v>
      </c>
    </row>
    <row r="30" spans="1:32" ht="15">
      <c r="A30" s="29"/>
      <c r="B30" s="20">
        <v>1</v>
      </c>
      <c r="C30" s="24">
        <v>340745</v>
      </c>
      <c r="D30" s="24" t="s">
        <v>21</v>
      </c>
      <c r="E30" s="24">
        <v>1</v>
      </c>
      <c r="F30" s="27">
        <v>1.0057</v>
      </c>
      <c r="G30" s="1" t="s">
        <v>17</v>
      </c>
      <c r="H30" s="1"/>
      <c r="I30" s="1"/>
      <c r="J30" s="10"/>
      <c r="K30" s="1"/>
      <c r="L30" s="10"/>
      <c r="M30" s="1"/>
      <c r="N30" s="10"/>
      <c r="O30" s="1"/>
      <c r="P30" s="10"/>
      <c r="Q30" s="14">
        <v>1</v>
      </c>
      <c r="R30" s="10">
        <v>0</v>
      </c>
      <c r="S30" s="1">
        <v>196</v>
      </c>
      <c r="T30" s="15">
        <f>(S30-Q30)*E30*F30-0.112</f>
        <v>195.9995</v>
      </c>
      <c r="U30" s="1">
        <v>386</v>
      </c>
      <c r="V30" s="10">
        <f>(U30-S30)*E30*F30-0.083</f>
        <v>191</v>
      </c>
      <c r="W30" s="1">
        <v>628</v>
      </c>
      <c r="X30" s="10">
        <f>(W30-U30)*E30*F30-0.3794</f>
        <v>243</v>
      </c>
      <c r="Y30" s="1">
        <v>872</v>
      </c>
      <c r="Z30" s="19">
        <f>(Y30-W30)*E30*F30-0.3908</f>
        <v>245</v>
      </c>
      <c r="AA30" s="1">
        <v>1157</v>
      </c>
      <c r="AB30" s="10">
        <f>(AA30-Y30)*E30*F30+0.3755</f>
        <v>287</v>
      </c>
      <c r="AC30" s="1">
        <v>1499</v>
      </c>
      <c r="AD30" s="19">
        <f>(AC30-AA30)*E30*F30+0.0506</f>
        <v>344</v>
      </c>
      <c r="AE30" s="1">
        <v>1734</v>
      </c>
      <c r="AF30" s="1">
        <f>(AE30-AC30)*E30*F30-0.3395</f>
        <v>236.00000000000003</v>
      </c>
    </row>
    <row r="31" spans="1:32" ht="15">
      <c r="A31" s="29"/>
      <c r="B31" s="21"/>
      <c r="C31" s="24"/>
      <c r="D31" s="24"/>
      <c r="E31" s="24"/>
      <c r="F31" s="24"/>
      <c r="G31" s="1" t="s">
        <v>18</v>
      </c>
      <c r="H31" s="1"/>
      <c r="I31" s="1"/>
      <c r="J31" s="10"/>
      <c r="K31" s="1"/>
      <c r="L31" s="10"/>
      <c r="M31" s="1"/>
      <c r="N31" s="10"/>
      <c r="O31" s="1"/>
      <c r="P31" s="10"/>
      <c r="Q31" s="14">
        <v>1</v>
      </c>
      <c r="R31" s="10">
        <v>0</v>
      </c>
      <c r="S31" s="1">
        <v>223</v>
      </c>
      <c r="T31" s="15">
        <f>(S31-Q31)*E30*F30-0.265</f>
        <v>223.0004</v>
      </c>
      <c r="U31" s="1">
        <v>466</v>
      </c>
      <c r="V31" s="10">
        <f>(U31-S31)*E30*F30-0.385</f>
        <v>244.00010000000003</v>
      </c>
      <c r="W31" s="1">
        <v>742</v>
      </c>
      <c r="X31" s="10">
        <f>(W31-U31)*E30*F30+0.4268</f>
        <v>278</v>
      </c>
      <c r="Y31" s="1">
        <v>1007</v>
      </c>
      <c r="Z31" s="19">
        <f>(Y31-W31)*E30*F30-0.5105</f>
        <v>266.00000000000006</v>
      </c>
      <c r="AA31" s="1">
        <v>1344</v>
      </c>
      <c r="AB31" s="1">
        <f>(AA31-Y31)*E30*F30+0.0791</f>
        <v>339</v>
      </c>
      <c r="AC31" s="1">
        <v>1697</v>
      </c>
      <c r="AD31" s="19">
        <f>(AC31-AA31)*E30*F30-0.0121</f>
        <v>355.00000000000006</v>
      </c>
      <c r="AE31" s="1">
        <v>1983</v>
      </c>
      <c r="AF31" s="1">
        <f>(AE31-AC31)*E30*F30+0.3698</f>
        <v>288</v>
      </c>
    </row>
    <row r="32" spans="1:32" ht="15" customHeight="1">
      <c r="A32" s="29"/>
      <c r="B32" s="20">
        <v>27</v>
      </c>
      <c r="C32" s="24">
        <v>561997</v>
      </c>
      <c r="D32" s="24" t="s">
        <v>20</v>
      </c>
      <c r="E32" s="24">
        <v>15</v>
      </c>
      <c r="F32" s="27">
        <v>1.0057</v>
      </c>
      <c r="G32" s="1" t="s">
        <v>17</v>
      </c>
      <c r="H32" s="1">
        <v>4799</v>
      </c>
      <c r="I32" s="1">
        <v>4866</v>
      </c>
      <c r="J32" s="10">
        <f>(I32-H32)*E32*F32+0.27</f>
        <v>1010.9985</v>
      </c>
      <c r="K32" s="1">
        <v>4933</v>
      </c>
      <c r="L32" s="10">
        <f>(K32-I32)*E32*F32</f>
        <v>1010.7285</v>
      </c>
      <c r="M32" s="1">
        <v>4978</v>
      </c>
      <c r="N32" s="10">
        <f>(M32-K32)*E32*F32</f>
        <v>678.8475000000001</v>
      </c>
      <c r="O32" s="1">
        <v>5002</v>
      </c>
      <c r="P32" s="10">
        <f>(O32-M32)*E32*F32-0.05</f>
        <v>362.002</v>
      </c>
      <c r="Q32" s="14">
        <f>5033-6.2</f>
        <v>5026.8</v>
      </c>
      <c r="R32" s="10">
        <f>(Q32-O32)*E32*F32-0.12</f>
        <v>374.00040000000274</v>
      </c>
      <c r="S32" s="22" t="s">
        <v>40</v>
      </c>
      <c r="T32" s="15">
        <v>0</v>
      </c>
      <c r="U32" s="1"/>
      <c r="V32" s="10">
        <v>0</v>
      </c>
      <c r="W32" s="1"/>
      <c r="X32" s="10">
        <f>(W32-U32)*E32*F32</f>
        <v>0</v>
      </c>
      <c r="Y32" s="1"/>
      <c r="Z32" s="19">
        <f>(Y32-W32)*E32*F32</f>
        <v>0</v>
      </c>
      <c r="AA32" s="1"/>
      <c r="AB32" s="1">
        <f>(AA32-Y32)*E32*F32</f>
        <v>0</v>
      </c>
      <c r="AC32" s="1"/>
      <c r="AD32" s="19">
        <f>(AC32-AA32)*E32*F32</f>
        <v>0</v>
      </c>
      <c r="AE32" s="1"/>
      <c r="AF32" s="1">
        <f>(AE32-AC32)*E32*F32</f>
        <v>0</v>
      </c>
    </row>
    <row r="33" spans="1:32" ht="15">
      <c r="A33" s="29"/>
      <c r="B33" s="21"/>
      <c r="C33" s="24"/>
      <c r="D33" s="24"/>
      <c r="E33" s="24"/>
      <c r="F33" s="24"/>
      <c r="G33" s="1" t="s">
        <v>18</v>
      </c>
      <c r="H33" s="1">
        <v>5981</v>
      </c>
      <c r="I33" s="1">
        <v>6055</v>
      </c>
      <c r="J33" s="10">
        <f>(I33-H33)*E32*F32-0.33</f>
        <v>1115.997</v>
      </c>
      <c r="K33" s="1">
        <v>6122</v>
      </c>
      <c r="L33" s="10">
        <f>(K33-I33)*E32*F32</f>
        <v>1010.7285</v>
      </c>
      <c r="M33" s="1">
        <v>6170</v>
      </c>
      <c r="N33" s="10">
        <f>(M33-K33)*E32*F32</f>
        <v>724.104</v>
      </c>
      <c r="O33" s="1">
        <v>6198</v>
      </c>
      <c r="P33" s="10">
        <f>(O33-M33)*E32*F32-0.39</f>
        <v>422.004</v>
      </c>
      <c r="Q33" s="1">
        <f>6234-7.0667</f>
        <v>6226.9333</v>
      </c>
      <c r="R33" s="10">
        <f>(Q33-O33)*E32*F32+0.53</f>
        <v>437.0032971499953</v>
      </c>
      <c r="S33" s="23"/>
      <c r="T33" s="15">
        <v>0</v>
      </c>
      <c r="U33" s="1"/>
      <c r="V33" s="10">
        <f>(U33-S33)*E32*F32</f>
        <v>0</v>
      </c>
      <c r="W33" s="1"/>
      <c r="X33" s="10">
        <f>(W33-U33)*E32*F32</f>
        <v>0</v>
      </c>
      <c r="Y33" s="1"/>
      <c r="Z33" s="19">
        <f>(Y33-W33)*E32*F32</f>
        <v>0</v>
      </c>
      <c r="AA33" s="1"/>
      <c r="AB33" s="1">
        <f>(AA33-Y33)*E32*F32</f>
        <v>0</v>
      </c>
      <c r="AC33" s="1"/>
      <c r="AD33" s="19">
        <f>(AC33-AA33)*E32*F32</f>
        <v>0</v>
      </c>
      <c r="AE33" s="1"/>
      <c r="AF33" s="1">
        <f>(AE33-AC33)*E32*F32</f>
        <v>0</v>
      </c>
    </row>
    <row r="34" spans="1:32" ht="15">
      <c r="A34" s="29"/>
      <c r="B34" s="20">
        <v>2</v>
      </c>
      <c r="C34" s="24">
        <v>339198</v>
      </c>
      <c r="D34" s="24" t="s">
        <v>20</v>
      </c>
      <c r="E34" s="24">
        <v>1</v>
      </c>
      <c r="F34" s="27">
        <v>1.0057</v>
      </c>
      <c r="G34" s="1" t="s">
        <v>17</v>
      </c>
      <c r="H34" s="1"/>
      <c r="I34" s="1"/>
      <c r="J34" s="10"/>
      <c r="K34" s="1"/>
      <c r="L34" s="10"/>
      <c r="M34" s="1"/>
      <c r="N34" s="10"/>
      <c r="O34" s="1"/>
      <c r="P34" s="10"/>
      <c r="Q34" s="1">
        <v>1</v>
      </c>
      <c r="R34" s="10">
        <v>0</v>
      </c>
      <c r="S34" s="1">
        <v>469</v>
      </c>
      <c r="T34" s="15">
        <f>(S34-Q34)*E34*F34+0.332</f>
        <v>470.9996</v>
      </c>
      <c r="U34" s="1">
        <v>1065</v>
      </c>
      <c r="V34" s="10">
        <f>(U34-S34)*E34*F34-0.397</f>
        <v>599.0002</v>
      </c>
      <c r="W34" s="1">
        <v>1517</v>
      </c>
      <c r="X34" s="10">
        <f>(W34-U34)*E34*F34+0.4236</f>
        <v>455.00000000000006</v>
      </c>
      <c r="Y34" s="1">
        <v>2018</v>
      </c>
      <c r="Z34" s="19">
        <f>(Y34-W34)*E34*F34+0.1443</f>
        <v>504</v>
      </c>
      <c r="AA34" s="1">
        <v>2610</v>
      </c>
      <c r="AB34" s="1">
        <f>(AA34-Y34)*E34*F34-0.3744</f>
        <v>595</v>
      </c>
      <c r="AC34" s="1">
        <v>3254</v>
      </c>
      <c r="AD34" s="19">
        <f>(AC34-AA34)*E34*F34+0.3292</f>
        <v>648</v>
      </c>
      <c r="AE34" s="1">
        <v>3750</v>
      </c>
      <c r="AF34" s="1">
        <f>(AE34-AC34)*E34*F34+0.1728</f>
        <v>499</v>
      </c>
    </row>
    <row r="35" spans="1:32" ht="15">
      <c r="A35" s="29"/>
      <c r="B35" s="21"/>
      <c r="C35" s="24"/>
      <c r="D35" s="24"/>
      <c r="E35" s="24"/>
      <c r="F35" s="24"/>
      <c r="G35" s="1" t="s">
        <v>18</v>
      </c>
      <c r="H35" s="1"/>
      <c r="I35" s="1"/>
      <c r="J35" s="10"/>
      <c r="K35" s="1"/>
      <c r="L35" s="10"/>
      <c r="M35" s="1"/>
      <c r="N35" s="10"/>
      <c r="O35" s="1"/>
      <c r="P35" s="10"/>
      <c r="Q35" s="1">
        <v>1</v>
      </c>
      <c r="R35" s="10">
        <v>0</v>
      </c>
      <c r="S35" s="1">
        <v>581</v>
      </c>
      <c r="T35" s="15">
        <f>(S35-Q35)*E34*F34-0.306</f>
        <v>583</v>
      </c>
      <c r="U35" s="1">
        <v>1366</v>
      </c>
      <c r="V35" s="10">
        <f>(U35-S35)*E34*F34+0.525</f>
        <v>789.9995</v>
      </c>
      <c r="W35" s="1">
        <v>1932</v>
      </c>
      <c r="X35" s="10">
        <f>(W35-U35)*E34*F34-0.2262</f>
        <v>569.0000000000001</v>
      </c>
      <c r="Y35" s="1">
        <v>2547</v>
      </c>
      <c r="Z35" s="19">
        <f>(Y35-W35)*E34*F34+0.4945</f>
        <v>619</v>
      </c>
      <c r="AA35" s="1">
        <v>3318</v>
      </c>
      <c r="AB35" s="1">
        <f>(AA35-Y35)*E34*F34+0.6053</f>
        <v>776.0000000000001</v>
      </c>
      <c r="AC35" s="1">
        <v>4088</v>
      </c>
      <c r="AD35" s="19">
        <f>(AC35-AA35)*E34*F34-0.389</f>
        <v>774</v>
      </c>
      <c r="AE35" s="1">
        <v>4698</v>
      </c>
      <c r="AF35" s="1">
        <f>(AE35-AC35)*E34*F34+0.523</f>
        <v>614</v>
      </c>
    </row>
    <row r="36" spans="1:32" ht="15" customHeight="1">
      <c r="A36" s="29"/>
      <c r="B36" s="20">
        <v>17</v>
      </c>
      <c r="C36" s="24">
        <v>534891</v>
      </c>
      <c r="D36" s="24" t="s">
        <v>21</v>
      </c>
      <c r="E36" s="24">
        <v>1</v>
      </c>
      <c r="F36" s="27">
        <v>1.0057</v>
      </c>
      <c r="G36" s="1" t="s">
        <v>17</v>
      </c>
      <c r="H36" s="1">
        <v>64557</v>
      </c>
      <c r="I36" s="1">
        <v>64999</v>
      </c>
      <c r="J36" s="10">
        <f>(I36-H36)*E36*F36-0.52</f>
        <v>443.99940000000004</v>
      </c>
      <c r="K36" s="1">
        <v>65358</v>
      </c>
      <c r="L36" s="10">
        <f>(K36-I36)*E36*F36</f>
        <v>361.04630000000003</v>
      </c>
      <c r="M36" s="1">
        <v>65631</v>
      </c>
      <c r="N36" s="10">
        <f>(M36-K36)*E36*F36</f>
        <v>274.5561</v>
      </c>
      <c r="O36" s="1">
        <v>65792</v>
      </c>
      <c r="P36" s="10">
        <f>(O36-M36)*E36*F36+0.08</f>
        <v>161.9977</v>
      </c>
      <c r="Q36" s="1">
        <f>66083-124.63</f>
        <v>65958.37</v>
      </c>
      <c r="R36" s="10">
        <f>(Q36-O36)*E36*F36</f>
        <v>167.3183089999953</v>
      </c>
      <c r="S36" s="22" t="s">
        <v>40</v>
      </c>
      <c r="T36" s="15">
        <v>0</v>
      </c>
      <c r="U36" s="1"/>
      <c r="V36" s="10">
        <v>0</v>
      </c>
      <c r="W36" s="1"/>
      <c r="X36" s="10">
        <f>(W36-U36)*E36*F36</f>
        <v>0</v>
      </c>
      <c r="Y36" s="1"/>
      <c r="Z36" s="19">
        <f>(Y36-W36)*E36*F36</f>
        <v>0</v>
      </c>
      <c r="AA36" s="1"/>
      <c r="AB36" s="1">
        <f>(AA36-Y36)*E36*F36</f>
        <v>0</v>
      </c>
      <c r="AC36" s="1"/>
      <c r="AD36" s="19">
        <f>(AC36-AA36)*E36*F36</f>
        <v>0</v>
      </c>
      <c r="AE36" s="1"/>
      <c r="AF36" s="1">
        <f>(AE36-AC36)*E36*F36</f>
        <v>0</v>
      </c>
    </row>
    <row r="37" spans="1:32" ht="15">
      <c r="A37" s="29"/>
      <c r="B37" s="21"/>
      <c r="C37" s="24"/>
      <c r="D37" s="24"/>
      <c r="E37" s="24"/>
      <c r="F37" s="24"/>
      <c r="G37" s="1" t="s">
        <v>18</v>
      </c>
      <c r="H37" s="1">
        <v>75253</v>
      </c>
      <c r="I37" s="1">
        <v>75763</v>
      </c>
      <c r="J37" s="10">
        <f>(I37-H37)*E36*F36+0.09</f>
        <v>512.9970000000001</v>
      </c>
      <c r="K37" s="1">
        <v>76154</v>
      </c>
      <c r="L37" s="10">
        <f>(K37-I37)*E36*F36</f>
        <v>393.2287</v>
      </c>
      <c r="M37" s="1">
        <v>76466</v>
      </c>
      <c r="N37" s="10">
        <f>(M37-K37)*E36*F36</f>
        <v>313.77840000000003</v>
      </c>
      <c r="O37" s="1">
        <v>76649</v>
      </c>
      <c r="P37" s="10">
        <f>(O37-M37)*E36*F36-0.04</f>
        <v>184.00310000000002</v>
      </c>
      <c r="Q37" s="1">
        <f>76956-117.9</f>
        <v>76838.1</v>
      </c>
      <c r="R37" s="10">
        <f>(Q37-O37)*E36*F36</f>
        <v>190.17787000000587</v>
      </c>
      <c r="S37" s="23"/>
      <c r="T37" s="15">
        <v>0</v>
      </c>
      <c r="U37" s="1"/>
      <c r="V37" s="10">
        <f>(U37-S37)*E36*F36</f>
        <v>0</v>
      </c>
      <c r="W37" s="1"/>
      <c r="X37" s="10">
        <f>(W37-U37)*E36*F36</f>
        <v>0</v>
      </c>
      <c r="Y37" s="1"/>
      <c r="Z37" s="19">
        <f>(Y37-W37)*E36*F36</f>
        <v>0</v>
      </c>
      <c r="AA37" s="1"/>
      <c r="AB37" s="1">
        <f>(AA37-Y37)*E36*F36</f>
        <v>0</v>
      </c>
      <c r="AC37" s="1"/>
      <c r="AD37" s="19">
        <f>(AC37-AA37)*E36*F36</f>
        <v>0</v>
      </c>
      <c r="AE37" s="1"/>
      <c r="AF37" s="1">
        <f>(AE37-AC37)*E36*F36</f>
        <v>0</v>
      </c>
    </row>
    <row r="38" spans="1:32" ht="15">
      <c r="A38" s="29"/>
      <c r="B38" s="20">
        <v>15</v>
      </c>
      <c r="C38" s="24">
        <v>339138</v>
      </c>
      <c r="D38" s="24" t="s">
        <v>21</v>
      </c>
      <c r="E38" s="24">
        <v>1</v>
      </c>
      <c r="F38" s="27">
        <v>1.0057</v>
      </c>
      <c r="G38" s="1" t="s">
        <v>17</v>
      </c>
      <c r="H38" s="1"/>
      <c r="I38" s="1"/>
      <c r="J38" s="10"/>
      <c r="K38" s="1"/>
      <c r="L38" s="10"/>
      <c r="M38" s="1"/>
      <c r="N38" s="10"/>
      <c r="O38" s="1"/>
      <c r="P38" s="10"/>
      <c r="Q38" s="1">
        <v>1</v>
      </c>
      <c r="R38" s="10">
        <v>0</v>
      </c>
      <c r="S38" s="1">
        <v>348</v>
      </c>
      <c r="T38" s="15">
        <f>(S38-Q38)*E38*F38+0.022</f>
        <v>348.9999</v>
      </c>
      <c r="U38" s="1">
        <v>539</v>
      </c>
      <c r="V38" s="10">
        <f>(U38-S38)*E38*F38-0.089</f>
        <v>191.99970000000002</v>
      </c>
      <c r="W38" s="1">
        <v>804</v>
      </c>
      <c r="X38" s="10">
        <f>(W38-U38)*E38*F38-0.5105</f>
        <v>266.00000000000006</v>
      </c>
      <c r="Y38" s="1">
        <v>1048</v>
      </c>
      <c r="Z38" s="19">
        <f>(Y38-W38)*E38*F38-0.3908</f>
        <v>245</v>
      </c>
      <c r="AA38" s="1">
        <v>1304</v>
      </c>
      <c r="AB38" s="1">
        <f>(AA38-Y38)*E38*F38+0.5408</f>
        <v>258</v>
      </c>
      <c r="AC38" s="1">
        <v>1538</v>
      </c>
      <c r="AD38" s="19">
        <f>(AC38-AA38)*E38*F38-0.3338</f>
        <v>235</v>
      </c>
      <c r="AE38" s="1">
        <v>1854</v>
      </c>
      <c r="AF38" s="1">
        <f>(AE38-AC38)*E38*F38+0.1988</f>
        <v>318</v>
      </c>
    </row>
    <row r="39" spans="1:32" ht="15">
      <c r="A39" s="29"/>
      <c r="B39" s="21"/>
      <c r="C39" s="24"/>
      <c r="D39" s="24"/>
      <c r="E39" s="24"/>
      <c r="F39" s="24"/>
      <c r="G39" s="1" t="s">
        <v>18</v>
      </c>
      <c r="H39" s="1"/>
      <c r="I39" s="1"/>
      <c r="J39" s="10"/>
      <c r="K39" s="1"/>
      <c r="L39" s="10"/>
      <c r="M39" s="1"/>
      <c r="N39" s="10"/>
      <c r="O39" s="1"/>
      <c r="P39" s="10"/>
      <c r="Q39" s="1">
        <v>1</v>
      </c>
      <c r="R39" s="10">
        <v>0</v>
      </c>
      <c r="S39" s="1">
        <v>395</v>
      </c>
      <c r="T39" s="15">
        <f>(S39-Q39)*E38*F38-0.246</f>
        <v>395.99980000000005</v>
      </c>
      <c r="U39" s="1">
        <v>632</v>
      </c>
      <c r="V39" s="10">
        <f>(U39-S39)*E38*F38-0.351</f>
        <v>237.9999</v>
      </c>
      <c r="W39" s="1">
        <v>914</v>
      </c>
      <c r="X39" s="10">
        <f>(W39-U39)*E38*F38+0.3926</f>
        <v>284</v>
      </c>
      <c r="Y39" s="1">
        <v>1191</v>
      </c>
      <c r="Z39" s="19">
        <f>(Y39-W39)*E38*F38+0.4211</f>
        <v>279.00000000000006</v>
      </c>
      <c r="AA39" s="1">
        <v>1498</v>
      </c>
      <c r="AB39" s="1">
        <f>(AA39-Y39)*E38*F38+0.2501</f>
        <v>309</v>
      </c>
      <c r="AC39" s="1">
        <v>1741</v>
      </c>
      <c r="AD39" s="19">
        <f>(AC39-AA39)*E38*F38-0.3851</f>
        <v>244.00000000000003</v>
      </c>
      <c r="AE39" s="1">
        <v>2105</v>
      </c>
      <c r="AF39" s="1">
        <f>(AE39-AC39)*E38*F38-0.0748</f>
        <v>366.00000000000006</v>
      </c>
    </row>
    <row r="40" spans="1:32" ht="15" customHeight="1">
      <c r="A40" s="29"/>
      <c r="B40" s="20">
        <v>16</v>
      </c>
      <c r="C40" s="24">
        <v>489487</v>
      </c>
      <c r="D40" s="25" t="s">
        <v>20</v>
      </c>
      <c r="E40" s="24">
        <v>15</v>
      </c>
      <c r="F40" s="27">
        <v>1.0057</v>
      </c>
      <c r="G40" s="1" t="s">
        <v>17</v>
      </c>
      <c r="H40" s="1">
        <v>2108</v>
      </c>
      <c r="I40" s="1">
        <v>2126</v>
      </c>
      <c r="J40" s="10">
        <f>(I40-H40)*E40*F40-0.54</f>
        <v>270.99899999999997</v>
      </c>
      <c r="K40" s="1">
        <v>2147</v>
      </c>
      <c r="L40" s="10">
        <f>(K40-I40)*E40*F40</f>
        <v>316.7955</v>
      </c>
      <c r="M40" s="1">
        <v>2164</v>
      </c>
      <c r="N40" s="10">
        <f>(M40-K40)*E40*F40</f>
        <v>256.4535</v>
      </c>
      <c r="O40" s="1">
        <v>2173</v>
      </c>
      <c r="P40" s="10">
        <f>(O40-M40)*E40*F40+0.23</f>
        <v>135.99949999999998</v>
      </c>
      <c r="Q40" s="1">
        <f>2185-2.7</f>
        <v>2182.3</v>
      </c>
      <c r="R40" s="10">
        <f>(Q40-O40)*E40*F40</f>
        <v>140.29515000000276</v>
      </c>
      <c r="S40" s="22" t="s">
        <v>40</v>
      </c>
      <c r="T40" s="15">
        <v>0</v>
      </c>
      <c r="U40" s="1"/>
      <c r="V40" s="10">
        <v>0</v>
      </c>
      <c r="W40" s="1"/>
      <c r="X40" s="10">
        <f>(W40-U40)*E40*F40</f>
        <v>0</v>
      </c>
      <c r="Y40" s="1"/>
      <c r="Z40" s="19">
        <f>(Y40-W40)*E40*F40</f>
        <v>0</v>
      </c>
      <c r="AA40" s="1"/>
      <c r="AB40" s="1">
        <f>(AA40-Y40)*E40*F40</f>
        <v>0</v>
      </c>
      <c r="AC40" s="1"/>
      <c r="AD40" s="19">
        <f>(AC40-AA40)*E40*F40</f>
        <v>0</v>
      </c>
      <c r="AE40" s="1"/>
      <c r="AF40" s="1">
        <f>(AE40-AC40)*E40*F40</f>
        <v>0</v>
      </c>
    </row>
    <row r="41" spans="1:32" ht="15">
      <c r="A41" s="29"/>
      <c r="B41" s="21"/>
      <c r="C41" s="24"/>
      <c r="D41" s="26"/>
      <c r="E41" s="24"/>
      <c r="F41" s="24"/>
      <c r="G41" s="1" t="s">
        <v>18</v>
      </c>
      <c r="H41" s="1">
        <v>3823</v>
      </c>
      <c r="I41" s="1">
        <v>3861</v>
      </c>
      <c r="J41" s="10">
        <f>(I41-H41)*E40*F40-0.25</f>
        <v>572.999</v>
      </c>
      <c r="K41" s="1">
        <v>3899</v>
      </c>
      <c r="L41" s="10">
        <f>(K41-I41)*E40*F40</f>
        <v>573.249</v>
      </c>
      <c r="M41" s="1">
        <v>3932</v>
      </c>
      <c r="N41" s="10">
        <f>(M41-K41)*E40*F40</f>
        <v>497.8215</v>
      </c>
      <c r="O41" s="1">
        <v>3953</v>
      </c>
      <c r="P41" s="10">
        <f>(O41-M41)*E40*F40+0.2</f>
        <v>316.9955</v>
      </c>
      <c r="Q41" s="1">
        <f>3976-1.3</f>
        <v>3974.7</v>
      </c>
      <c r="R41" s="10">
        <f>(Q41-O41)*E40*F40</f>
        <v>327.35534999999726</v>
      </c>
      <c r="S41" s="23"/>
      <c r="T41" s="15">
        <v>0</v>
      </c>
      <c r="U41" s="1"/>
      <c r="V41" s="10">
        <f>(U41-S41)*E40*F40</f>
        <v>0</v>
      </c>
      <c r="W41" s="1"/>
      <c r="X41" s="10">
        <f>(W41-U41)*E40*F40</f>
        <v>0</v>
      </c>
      <c r="Y41" s="1"/>
      <c r="Z41" s="19">
        <f>(Y41-W41)*E40*F40</f>
        <v>0</v>
      </c>
      <c r="AA41" s="1"/>
      <c r="AB41" s="1">
        <f>(AA41-Y41)*E40*F40</f>
        <v>0</v>
      </c>
      <c r="AC41" s="1"/>
      <c r="AD41" s="19">
        <f>(AC41-AA41)*E40*F40</f>
        <v>0</v>
      </c>
      <c r="AE41" s="1"/>
      <c r="AF41" s="1">
        <f>(AE41-AC41)*E40*F40</f>
        <v>0</v>
      </c>
    </row>
    <row r="42" spans="1:32" ht="15" customHeight="1">
      <c r="A42" s="29"/>
      <c r="B42" s="20">
        <v>14</v>
      </c>
      <c r="C42" s="24">
        <v>339591</v>
      </c>
      <c r="D42" s="25" t="s">
        <v>20</v>
      </c>
      <c r="E42" s="24">
        <v>1</v>
      </c>
      <c r="F42" s="27">
        <v>1.0057</v>
      </c>
      <c r="G42" s="1" t="s">
        <v>17</v>
      </c>
      <c r="H42" s="1"/>
      <c r="I42" s="1"/>
      <c r="J42" s="10"/>
      <c r="K42" s="1"/>
      <c r="L42" s="10"/>
      <c r="M42" s="1"/>
      <c r="N42" s="10"/>
      <c r="O42" s="1"/>
      <c r="P42" s="10"/>
      <c r="Q42" s="1">
        <v>1</v>
      </c>
      <c r="R42" s="10">
        <v>0</v>
      </c>
      <c r="S42" s="1">
        <v>102</v>
      </c>
      <c r="T42" s="15">
        <f>(S42-Q42)*E42*F42+0.424</f>
        <v>101.9997</v>
      </c>
      <c r="U42" s="1">
        <v>242</v>
      </c>
      <c r="V42" s="10">
        <f>(U42-S42)*E42*F42+0.202</f>
        <v>141</v>
      </c>
      <c r="W42" s="1">
        <v>337</v>
      </c>
      <c r="X42" s="10">
        <f>(W42-U42)*E42*F42+0.4585</f>
        <v>96</v>
      </c>
      <c r="Y42" s="1">
        <v>441</v>
      </c>
      <c r="Z42" s="19">
        <f>(Y42-W42)*E42*F42+0.4072</f>
        <v>105.00000000000001</v>
      </c>
      <c r="AA42" s="1">
        <v>560</v>
      </c>
      <c r="AB42" s="1">
        <f>(AA42-Y42)*E42*F42+0.3217</f>
        <v>120.00000000000001</v>
      </c>
      <c r="AC42" s="1">
        <v>810</v>
      </c>
      <c r="AD42" s="19">
        <f>(AC42-AA42)*E42*F42-0.425</f>
        <v>251</v>
      </c>
      <c r="AE42" s="1">
        <v>935</v>
      </c>
      <c r="AF42" s="1">
        <f>(AE42-AC42)*E42*F42+0.2875</f>
        <v>126</v>
      </c>
    </row>
    <row r="43" spans="1:32" ht="15">
      <c r="A43" s="29"/>
      <c r="B43" s="21"/>
      <c r="C43" s="24"/>
      <c r="D43" s="26"/>
      <c r="E43" s="24"/>
      <c r="F43" s="24"/>
      <c r="G43" s="1" t="s">
        <v>18</v>
      </c>
      <c r="H43" s="1"/>
      <c r="I43" s="1"/>
      <c r="J43" s="10"/>
      <c r="K43" s="1"/>
      <c r="L43" s="10"/>
      <c r="M43" s="1"/>
      <c r="N43" s="10"/>
      <c r="O43" s="1"/>
      <c r="P43" s="10"/>
      <c r="Q43" s="1">
        <v>1</v>
      </c>
      <c r="R43" s="10">
        <v>0</v>
      </c>
      <c r="S43" s="1">
        <v>268</v>
      </c>
      <c r="T43" s="15">
        <f>(S43-Q43)*E42*F42-0.522</f>
        <v>267.9999</v>
      </c>
      <c r="U43" s="1">
        <v>630</v>
      </c>
      <c r="V43" s="10">
        <f>(U43-S43)*E42*F42-0.063</f>
        <v>364.0004</v>
      </c>
      <c r="W43" s="1">
        <v>904</v>
      </c>
      <c r="X43" s="10">
        <f>(W43-U43)*E42*F42+0.4382</f>
        <v>276</v>
      </c>
      <c r="Y43" s="1">
        <v>1174</v>
      </c>
      <c r="Z43" s="15">
        <f>(Y43-W43)*E42*F42+0.461</f>
        <v>272</v>
      </c>
      <c r="AA43" s="1">
        <v>1494</v>
      </c>
      <c r="AB43" s="1">
        <f>(AA43-Y43)*E42*F42+0.176</f>
        <v>322</v>
      </c>
      <c r="AC43" s="1">
        <v>1984</v>
      </c>
      <c r="AD43" s="19">
        <f>(AC43-AA43)*E42*F42+0.207</f>
        <v>493</v>
      </c>
      <c r="AE43" s="1">
        <v>2268</v>
      </c>
      <c r="AF43" s="1">
        <f>(AE43-AC43)*E42*F42+0.3812</f>
        <v>286</v>
      </c>
    </row>
    <row r="44" spans="1:32" ht="15" customHeight="1">
      <c r="A44" s="29"/>
      <c r="B44" s="20">
        <v>22</v>
      </c>
      <c r="C44" s="24">
        <v>534863</v>
      </c>
      <c r="D44" s="24" t="s">
        <v>21</v>
      </c>
      <c r="E44" s="24">
        <v>1</v>
      </c>
      <c r="F44" s="27">
        <v>1.0057</v>
      </c>
      <c r="G44" s="1" t="s">
        <v>17</v>
      </c>
      <c r="H44" s="1">
        <v>37257</v>
      </c>
      <c r="I44" s="1">
        <v>37627</v>
      </c>
      <c r="J44" s="10">
        <f>(I44-H44)*E44*F44-0.11</f>
        <v>371.999</v>
      </c>
      <c r="K44" s="1">
        <v>37937</v>
      </c>
      <c r="L44" s="10">
        <f>(K44-I44)*E44*F44</f>
        <v>311.767</v>
      </c>
      <c r="M44" s="1">
        <v>38169</v>
      </c>
      <c r="N44" s="10">
        <f>(M44-K44)*E44*F44</f>
        <v>233.32240000000002</v>
      </c>
      <c r="O44" s="1">
        <v>38287</v>
      </c>
      <c r="P44" s="10">
        <f>(O44-M44)*E44*F44+0.33</f>
        <v>119.0026</v>
      </c>
      <c r="Q44" s="1">
        <f>38497-88.07</f>
        <v>38408.93</v>
      </c>
      <c r="R44" s="10">
        <f>(Q44-O44)*E44*F44-0.63</f>
        <v>121.9950010000003</v>
      </c>
      <c r="S44" s="22" t="s">
        <v>40</v>
      </c>
      <c r="T44" s="15">
        <v>0</v>
      </c>
      <c r="U44" s="1"/>
      <c r="V44" s="10">
        <v>0</v>
      </c>
      <c r="W44" s="1"/>
      <c r="X44" s="10">
        <f>(W44-U44)*E44*F44</f>
        <v>0</v>
      </c>
      <c r="Y44" s="1"/>
      <c r="Z44" s="19">
        <f>(Y44-W44)*E44*F44</f>
        <v>0</v>
      </c>
      <c r="AA44" s="1"/>
      <c r="AB44" s="1">
        <f>(AA44-Y44)*E44*F44</f>
        <v>0</v>
      </c>
      <c r="AC44" s="1"/>
      <c r="AD44" s="19">
        <f>(AC44-AA44)*E44*F44</f>
        <v>0</v>
      </c>
      <c r="AE44" s="1"/>
      <c r="AF44" s="1">
        <f>(AE44-AC44)*E44*F44</f>
        <v>0</v>
      </c>
    </row>
    <row r="45" spans="1:32" ht="15">
      <c r="A45" s="29"/>
      <c r="B45" s="21"/>
      <c r="C45" s="24"/>
      <c r="D45" s="24"/>
      <c r="E45" s="24"/>
      <c r="F45" s="24"/>
      <c r="G45" s="1" t="s">
        <v>18</v>
      </c>
      <c r="H45" s="1">
        <v>36102</v>
      </c>
      <c r="I45" s="1">
        <v>36519</v>
      </c>
      <c r="J45" s="10">
        <f>(I45-H45)*E44*F44-0.38</f>
        <v>418.99690000000004</v>
      </c>
      <c r="K45" s="1">
        <v>36826</v>
      </c>
      <c r="L45" s="10">
        <f>(K45-I45)*E44*F44</f>
        <v>308.7499</v>
      </c>
      <c r="M45" s="1">
        <v>37069</v>
      </c>
      <c r="N45" s="10">
        <f>(M45-K45)*E44*F44</f>
        <v>244.38510000000002</v>
      </c>
      <c r="O45" s="1">
        <v>37204</v>
      </c>
      <c r="P45" s="10">
        <f>(O45-M45)*E44*F44+0.23</f>
        <v>135.99949999999998</v>
      </c>
      <c r="Q45" s="1">
        <f>37410-66.5</f>
        <v>37343.5</v>
      </c>
      <c r="R45" s="10">
        <f>(Q45-O45)*E44*F44-0.3</f>
        <v>139.99515</v>
      </c>
      <c r="S45" s="23"/>
      <c r="T45" s="15">
        <v>0</v>
      </c>
      <c r="U45" s="1"/>
      <c r="V45" s="10">
        <f>(U45-S45)*E44*F44</f>
        <v>0</v>
      </c>
      <c r="W45" s="1"/>
      <c r="X45" s="10">
        <f>(W45-U45)*E44*F44</f>
        <v>0</v>
      </c>
      <c r="Y45" s="1"/>
      <c r="Z45" s="19">
        <f>(Y45-W45)*E44*F44</f>
        <v>0</v>
      </c>
      <c r="AA45" s="1"/>
      <c r="AB45" s="1">
        <f>(AA45-Y45)*E44*F44</f>
        <v>0</v>
      </c>
      <c r="AC45" s="1"/>
      <c r="AD45" s="19">
        <f>(AC45-AA45)*E44*F44</f>
        <v>0</v>
      </c>
      <c r="AE45" s="1"/>
      <c r="AF45" s="1">
        <f>(AE45-AC45)*E44*F44</f>
        <v>0</v>
      </c>
    </row>
    <row r="46" spans="1:32" ht="15">
      <c r="A46" s="29"/>
      <c r="B46" s="20">
        <v>6</v>
      </c>
      <c r="C46" s="24">
        <v>339158</v>
      </c>
      <c r="D46" s="24" t="s">
        <v>21</v>
      </c>
      <c r="E46" s="24">
        <v>1</v>
      </c>
      <c r="F46" s="27">
        <v>1.0057</v>
      </c>
      <c r="G46" s="1" t="s">
        <v>17</v>
      </c>
      <c r="H46" s="1"/>
      <c r="I46" s="1"/>
      <c r="J46" s="10"/>
      <c r="K46" s="1"/>
      <c r="L46" s="10"/>
      <c r="M46" s="1"/>
      <c r="N46" s="10"/>
      <c r="O46" s="1"/>
      <c r="P46" s="10"/>
      <c r="Q46" s="1">
        <v>0</v>
      </c>
      <c r="R46" s="10">
        <v>0</v>
      </c>
      <c r="S46" s="1">
        <v>154</v>
      </c>
      <c r="T46" s="15">
        <f>(S46-Q46)*E46*F46+0.122</f>
        <v>154.99980000000002</v>
      </c>
      <c r="U46" s="1">
        <v>345</v>
      </c>
      <c r="V46" s="10">
        <f>(U46-S46)*E46*F46-0.089</f>
        <v>191.99970000000002</v>
      </c>
      <c r="W46" s="1">
        <v>511</v>
      </c>
      <c r="X46" s="10">
        <f>(W46-U46)*E46*F46+0.0538</f>
        <v>167</v>
      </c>
      <c r="Y46" s="1">
        <v>786</v>
      </c>
      <c r="Z46" s="19">
        <f>(Y46-W46)*E46*F46+0.4325</f>
        <v>277</v>
      </c>
      <c r="AA46" s="1">
        <v>1024</v>
      </c>
      <c r="AB46" s="1">
        <f>(AA46-Y46)*E46*F46-0.3566</f>
        <v>239.00000000000003</v>
      </c>
      <c r="AC46" s="1">
        <v>1497</v>
      </c>
      <c r="AD46" s="19">
        <f>(AC46-AA46)*E46*F46+0.3039</f>
        <v>476</v>
      </c>
      <c r="AE46" s="1">
        <v>1785</v>
      </c>
      <c r="AF46" s="1">
        <f>(AE46-AC46)*E46*F46+0.3584</f>
        <v>290.00000000000006</v>
      </c>
    </row>
    <row r="47" spans="1:32" ht="15">
      <c r="A47" s="29"/>
      <c r="B47" s="21"/>
      <c r="C47" s="24"/>
      <c r="D47" s="24"/>
      <c r="E47" s="24"/>
      <c r="F47" s="24"/>
      <c r="G47" s="1" t="s">
        <v>18</v>
      </c>
      <c r="H47" s="1"/>
      <c r="I47" s="1"/>
      <c r="J47" s="10"/>
      <c r="K47" s="1"/>
      <c r="L47" s="10"/>
      <c r="M47" s="1"/>
      <c r="N47" s="10"/>
      <c r="O47" s="1"/>
      <c r="P47" s="10"/>
      <c r="Q47" s="1">
        <v>0</v>
      </c>
      <c r="R47" s="10">
        <v>0</v>
      </c>
      <c r="S47" s="1">
        <v>173</v>
      </c>
      <c r="T47" s="15">
        <f>(S47-Q47)*E46*F46+0.014</f>
        <v>174.0001</v>
      </c>
      <c r="U47" s="1">
        <v>378</v>
      </c>
      <c r="V47" s="10">
        <f>(U47-S47)*E46*F46-0.169</f>
        <v>205.99949999999998</v>
      </c>
      <c r="W47" s="1">
        <v>577</v>
      </c>
      <c r="X47" s="10">
        <f>(W47-U47)*E46*F46-0.1343</f>
        <v>200</v>
      </c>
      <c r="Y47" s="1">
        <v>871</v>
      </c>
      <c r="Z47" s="19">
        <f>(Y47-W47)*E46*F46+0.3242</f>
        <v>296.00000000000006</v>
      </c>
      <c r="AA47" s="1">
        <v>1170</v>
      </c>
      <c r="AB47" s="1">
        <f>(AA47-Y47)*E46*F46+0.2957</f>
        <v>301</v>
      </c>
      <c r="AC47" s="1">
        <v>1688</v>
      </c>
      <c r="AD47" s="19">
        <f>(AC47-AA47)*E46*F46+0.0474</f>
        <v>521.0000000000001</v>
      </c>
      <c r="AE47" s="1">
        <v>2030</v>
      </c>
      <c r="AF47" s="1">
        <f>(AE47-AC47)*E46*F46+0.0506</f>
        <v>344</v>
      </c>
    </row>
    <row r="48" spans="1:32" ht="15" customHeight="1">
      <c r="A48" s="29"/>
      <c r="B48" s="20">
        <v>21</v>
      </c>
      <c r="C48" s="24">
        <v>489501</v>
      </c>
      <c r="D48" s="24" t="s">
        <v>20</v>
      </c>
      <c r="E48" s="24">
        <v>15</v>
      </c>
      <c r="F48" s="27">
        <v>1.0057</v>
      </c>
      <c r="G48" s="1" t="s">
        <v>17</v>
      </c>
      <c r="H48" s="1">
        <v>2800</v>
      </c>
      <c r="I48" s="1">
        <v>2819</v>
      </c>
      <c r="J48" s="10">
        <f>(I48-H48)*E48*F48+0.38</f>
        <v>287.0045</v>
      </c>
      <c r="K48" s="1">
        <v>2889</v>
      </c>
      <c r="L48" s="10">
        <f>(K48-I48)*E48*F48</f>
        <v>1055.9850000000001</v>
      </c>
      <c r="M48" s="1">
        <v>2889</v>
      </c>
      <c r="N48" s="10">
        <f>(M48-K48)*E48*F48</f>
        <v>0</v>
      </c>
      <c r="O48" s="1">
        <v>2889</v>
      </c>
      <c r="P48" s="10">
        <f>(O48-M48)*E48*F48</f>
        <v>0</v>
      </c>
      <c r="Q48" s="1">
        <v>2889</v>
      </c>
      <c r="R48" s="10">
        <f>(Q48-O48)*E48*F48</f>
        <v>0</v>
      </c>
      <c r="S48" s="22" t="s">
        <v>40</v>
      </c>
      <c r="T48" s="15">
        <v>0</v>
      </c>
      <c r="U48" s="1"/>
      <c r="V48" s="10">
        <v>0</v>
      </c>
      <c r="W48" s="1"/>
      <c r="X48" s="10">
        <f>(W48-U48)*E48*F48</f>
        <v>0</v>
      </c>
      <c r="Y48" s="1"/>
      <c r="Z48" s="19">
        <f>(Y48-W48)*E48*F48</f>
        <v>0</v>
      </c>
      <c r="AA48" s="1"/>
      <c r="AB48" s="1">
        <f>(AA48-Y48)*E48*F48</f>
        <v>0</v>
      </c>
      <c r="AC48" s="1"/>
      <c r="AD48" s="19">
        <f>(AC48-AA48)*E48*F48</f>
        <v>0</v>
      </c>
      <c r="AE48" s="1"/>
      <c r="AF48" s="1">
        <f>(AE48-AC48)*E48*F48</f>
        <v>0</v>
      </c>
    </row>
    <row r="49" spans="1:32" ht="15">
      <c r="A49" s="29"/>
      <c r="B49" s="21"/>
      <c r="C49" s="24"/>
      <c r="D49" s="24"/>
      <c r="E49" s="24"/>
      <c r="F49" s="24"/>
      <c r="G49" s="1" t="s">
        <v>18</v>
      </c>
      <c r="H49" s="1">
        <v>3551</v>
      </c>
      <c r="I49" s="1">
        <v>3591</v>
      </c>
      <c r="J49" s="10">
        <f>(I49-H49)*E48*F48-0.42</f>
        <v>603.0000000000001</v>
      </c>
      <c r="K49" s="1">
        <v>3624</v>
      </c>
      <c r="L49" s="10">
        <f>(K49-I49)*E48*F48</f>
        <v>497.8215</v>
      </c>
      <c r="M49" s="1">
        <v>3654</v>
      </c>
      <c r="N49" s="10">
        <f>(M49-K49)*E48*F48</f>
        <v>452.565</v>
      </c>
      <c r="O49" s="1">
        <v>3669</v>
      </c>
      <c r="P49" s="10">
        <f>(O49-M49)*E48*F48-0.28</f>
        <v>226.0025</v>
      </c>
      <c r="Q49" s="1">
        <f>3689-4.5</f>
        <v>3684.5</v>
      </c>
      <c r="R49" s="10">
        <f>(Q49-O49)*E48*F48</f>
        <v>233.82525</v>
      </c>
      <c r="S49" s="23"/>
      <c r="T49" s="15">
        <v>0</v>
      </c>
      <c r="U49" s="1"/>
      <c r="V49" s="10">
        <f>(U49-S49)*E48*F48</f>
        <v>0</v>
      </c>
      <c r="W49" s="1"/>
      <c r="X49" s="10">
        <f>(W49-U49)*E48*F48</f>
        <v>0</v>
      </c>
      <c r="Y49" s="1"/>
      <c r="Z49" s="19">
        <f>(Y49-W49)*E48*F48</f>
        <v>0</v>
      </c>
      <c r="AA49" s="1"/>
      <c r="AB49" s="1">
        <f>(AA49-Y49)*E48*F48</f>
        <v>0</v>
      </c>
      <c r="AC49" s="1"/>
      <c r="AD49" s="19">
        <f>(AC49-AA49)*E48*F48</f>
        <v>0</v>
      </c>
      <c r="AE49" s="1"/>
      <c r="AF49" s="1">
        <f>(AE49-AC49)*E48*F48</f>
        <v>0</v>
      </c>
    </row>
    <row r="50" spans="1:32" ht="15">
      <c r="A50" s="29"/>
      <c r="B50" s="20">
        <v>7</v>
      </c>
      <c r="C50" s="24">
        <v>340748</v>
      </c>
      <c r="D50" s="24" t="s">
        <v>20</v>
      </c>
      <c r="E50" s="24">
        <v>1</v>
      </c>
      <c r="F50" s="27">
        <v>1.0057</v>
      </c>
      <c r="G50" s="1" t="s">
        <v>17</v>
      </c>
      <c r="H50" s="1"/>
      <c r="I50" s="1"/>
      <c r="J50" s="10"/>
      <c r="K50" s="1"/>
      <c r="L50" s="10"/>
      <c r="M50" s="1"/>
      <c r="N50" s="10"/>
      <c r="O50" s="1"/>
      <c r="P50" s="10"/>
      <c r="Q50" s="1">
        <v>1</v>
      </c>
      <c r="R50" s="10">
        <v>0</v>
      </c>
      <c r="S50" s="1">
        <v>128</v>
      </c>
      <c r="T50" s="15">
        <f>(S50-Q50)*E50*F50+0.276</f>
        <v>127.9999</v>
      </c>
      <c r="U50" s="1">
        <v>279</v>
      </c>
      <c r="V50" s="10">
        <f>(U50-S50)*E50*F50+0.139</f>
        <v>151.99970000000002</v>
      </c>
      <c r="W50" s="1">
        <v>452</v>
      </c>
      <c r="X50" s="10">
        <f>(W50-U50)*E50*F50+0.0139</f>
        <v>174</v>
      </c>
      <c r="Y50" s="1">
        <v>585</v>
      </c>
      <c r="Z50" s="19">
        <f>(Y50-W50)*E50*F50+0.2419</f>
        <v>134</v>
      </c>
      <c r="AA50" s="1">
        <v>647</v>
      </c>
      <c r="AB50" s="1">
        <f>(AA50-Y50)*E50*F50-0.3534</f>
        <v>62</v>
      </c>
      <c r="AC50" s="1">
        <v>790</v>
      </c>
      <c r="AD50" s="19">
        <f>(AC50-AA50)*E50*F50+0.1849</f>
        <v>144</v>
      </c>
      <c r="AE50" s="1">
        <v>920</v>
      </c>
      <c r="AF50" s="1">
        <f>(AE50-AC50)*E50*F50+0.259</f>
        <v>131</v>
      </c>
    </row>
    <row r="51" spans="1:32" ht="15">
      <c r="A51" s="29"/>
      <c r="B51" s="21"/>
      <c r="C51" s="24"/>
      <c r="D51" s="24"/>
      <c r="E51" s="24"/>
      <c r="F51" s="24"/>
      <c r="G51" s="1" t="s">
        <v>18</v>
      </c>
      <c r="H51" s="1"/>
      <c r="I51" s="1"/>
      <c r="J51" s="10"/>
      <c r="K51" s="1"/>
      <c r="L51" s="10"/>
      <c r="M51" s="1"/>
      <c r="N51" s="10"/>
      <c r="O51" s="1"/>
      <c r="P51" s="10"/>
      <c r="Q51" s="1">
        <v>1</v>
      </c>
      <c r="R51" s="10">
        <v>0</v>
      </c>
      <c r="S51" s="1">
        <v>279</v>
      </c>
      <c r="T51" s="15">
        <f>(S51-Q51)*E50*F50+0.415</f>
        <v>279.99960000000004</v>
      </c>
      <c r="U51" s="1">
        <v>551</v>
      </c>
      <c r="V51" s="10">
        <f>(U51-S51)*E50*F50+0.45</f>
        <v>274.0004</v>
      </c>
      <c r="W51" s="1">
        <v>796</v>
      </c>
      <c r="X51" s="10">
        <f>(W51-U51)*E50*F50+0.6035</f>
        <v>247</v>
      </c>
      <c r="Y51" s="1">
        <v>1014</v>
      </c>
      <c r="Z51" s="19">
        <f>(Y51-W51)*E50*F50-0.2426</f>
        <v>219</v>
      </c>
      <c r="AA51" s="1">
        <v>1125</v>
      </c>
      <c r="AB51" s="1">
        <f>(AA51-Y51)*E50*F50+0.3673</f>
        <v>112</v>
      </c>
      <c r="AC51" s="1">
        <v>1371</v>
      </c>
      <c r="AD51" s="19">
        <f>(AC51-AA51)*E50*F50+0.5978</f>
        <v>248.00000000000003</v>
      </c>
      <c r="AE51" s="1">
        <v>1627</v>
      </c>
      <c r="AF51" s="10">
        <f>(AE51-AC51)*E50*F50-0.4592</f>
        <v>257</v>
      </c>
    </row>
    <row r="52" spans="1:32" ht="15" customHeight="1">
      <c r="A52" s="29"/>
      <c r="B52" s="20">
        <v>20</v>
      </c>
      <c r="C52" s="24">
        <v>458585</v>
      </c>
      <c r="D52" s="24" t="s">
        <v>19</v>
      </c>
      <c r="E52" s="24">
        <v>10</v>
      </c>
      <c r="F52" s="27">
        <v>1.029</v>
      </c>
      <c r="G52" s="1" t="s">
        <v>17</v>
      </c>
      <c r="H52" s="1">
        <v>4350</v>
      </c>
      <c r="I52" s="1">
        <v>4398</v>
      </c>
      <c r="J52" s="10">
        <f>(I52-H52)*E52*F52+0.08</f>
        <v>493.99999999999994</v>
      </c>
      <c r="K52" s="1">
        <v>4445</v>
      </c>
      <c r="L52" s="10">
        <f>(K52-I52)*E52*F52</f>
        <v>483.62999999999994</v>
      </c>
      <c r="M52" s="1">
        <v>4490</v>
      </c>
      <c r="N52" s="10">
        <f>(M52-K52)*E52*F52</f>
        <v>463.04999999999995</v>
      </c>
      <c r="O52" s="1">
        <v>4518</v>
      </c>
      <c r="P52" s="10">
        <f>(O52-M52)*E52*F52-0.12</f>
        <v>288</v>
      </c>
      <c r="Q52" s="14">
        <f>4562-15.067</f>
        <v>4546.933</v>
      </c>
      <c r="R52" s="10">
        <f>(Q52-O52)*E52*F52+0.28</f>
        <v>298.00056999999987</v>
      </c>
      <c r="S52" s="22" t="s">
        <v>40</v>
      </c>
      <c r="T52" s="15">
        <v>0</v>
      </c>
      <c r="U52" s="1"/>
      <c r="V52" s="10">
        <v>0</v>
      </c>
      <c r="W52" s="1"/>
      <c r="X52" s="10">
        <f>(W52-U52)*E52*F52</f>
        <v>0</v>
      </c>
      <c r="Y52" s="1"/>
      <c r="Z52" s="19">
        <f>(Y52-W52)*E52*F52</f>
        <v>0</v>
      </c>
      <c r="AA52" s="1"/>
      <c r="AB52" s="1">
        <f>(AA52-Y52)*E52*F52</f>
        <v>0</v>
      </c>
      <c r="AC52" s="1"/>
      <c r="AD52" s="19">
        <f>(AC52-AA52)*E52*F52</f>
        <v>0</v>
      </c>
      <c r="AE52" s="1"/>
      <c r="AF52" s="1">
        <f>(AE52-AC52)*E52*F52</f>
        <v>0</v>
      </c>
    </row>
    <row r="53" spans="1:32" ht="15">
      <c r="A53" s="29"/>
      <c r="B53" s="21"/>
      <c r="C53" s="24"/>
      <c r="D53" s="24"/>
      <c r="E53" s="24"/>
      <c r="F53" s="24"/>
      <c r="G53" s="1" t="s">
        <v>18</v>
      </c>
      <c r="H53" s="1">
        <v>2088</v>
      </c>
      <c r="I53" s="1">
        <v>2123</v>
      </c>
      <c r="J53" s="10">
        <f>(I53-H53)*E52*F52-0.15</f>
        <v>360</v>
      </c>
      <c r="K53" s="1">
        <v>2151</v>
      </c>
      <c r="L53" s="10">
        <f>(K53-I53)*E52*F52</f>
        <v>288.12</v>
      </c>
      <c r="M53" s="1">
        <v>2178</v>
      </c>
      <c r="N53" s="10">
        <f>(M53-K53)*E52*F52</f>
        <v>277.83</v>
      </c>
      <c r="O53" s="1">
        <v>2195</v>
      </c>
      <c r="P53" s="10">
        <f>(O53-M53)*E52*F52+0.07</f>
        <v>174.99999999999997</v>
      </c>
      <c r="Q53" s="14">
        <f>2216-3.433</f>
        <v>2212.567</v>
      </c>
      <c r="R53" s="10">
        <f>(Q53-O53)*E52*F52+0.24</f>
        <v>181.00443000000007</v>
      </c>
      <c r="S53" s="23"/>
      <c r="T53" s="15">
        <v>0</v>
      </c>
      <c r="U53" s="1"/>
      <c r="V53" s="10">
        <f>(U53-S53)*E52*F52</f>
        <v>0</v>
      </c>
      <c r="W53" s="1"/>
      <c r="X53" s="10">
        <f>(W53-U53)*E52*F52</f>
        <v>0</v>
      </c>
      <c r="Y53" s="1"/>
      <c r="Z53" s="19">
        <f>(Y53-W53)*E52*F52</f>
        <v>0</v>
      </c>
      <c r="AA53" s="1"/>
      <c r="AB53" s="1">
        <f>(AA53-Y53)*E52*F52</f>
        <v>0</v>
      </c>
      <c r="AC53" s="1"/>
      <c r="AD53" s="19">
        <f>(AC53-AA53)*E52*F52</f>
        <v>0</v>
      </c>
      <c r="AE53" s="1"/>
      <c r="AF53" s="1">
        <f>(AE53-AC53)*E52*F52</f>
        <v>0</v>
      </c>
    </row>
    <row r="54" spans="1:32" ht="15" customHeight="1">
      <c r="A54" s="29"/>
      <c r="B54" s="20">
        <v>13</v>
      </c>
      <c r="C54" s="24">
        <v>339135</v>
      </c>
      <c r="D54" s="24" t="s">
        <v>19</v>
      </c>
      <c r="E54" s="24">
        <v>1</v>
      </c>
      <c r="F54" s="27">
        <v>1.029</v>
      </c>
      <c r="G54" s="1" t="s">
        <v>17</v>
      </c>
      <c r="H54" s="1"/>
      <c r="I54" s="1"/>
      <c r="J54" s="10"/>
      <c r="K54" s="1"/>
      <c r="L54" s="10"/>
      <c r="M54" s="1"/>
      <c r="N54" s="10"/>
      <c r="O54" s="1"/>
      <c r="P54" s="10"/>
      <c r="Q54" s="14">
        <v>1</v>
      </c>
      <c r="R54" s="10">
        <v>0</v>
      </c>
      <c r="S54" s="1">
        <v>426</v>
      </c>
      <c r="T54" s="15">
        <f>(S54-Q54)*E54*F54-0.325</f>
        <v>437</v>
      </c>
      <c r="U54" s="1">
        <v>825</v>
      </c>
      <c r="V54" s="10">
        <f>(U54-S54)*E54*F54+0.429</f>
        <v>410.99999999999994</v>
      </c>
      <c r="W54" s="1">
        <v>1246</v>
      </c>
      <c r="X54" s="10">
        <f>(W54-U54)*E54*F54-0.209</f>
        <v>432.99999999999994</v>
      </c>
      <c r="Y54" s="1">
        <v>1673</v>
      </c>
      <c r="Z54" s="19">
        <f>(Y54-W54)*E54*F54-0.383</f>
        <v>439</v>
      </c>
      <c r="AA54" s="1">
        <v>2099</v>
      </c>
      <c r="AB54" s="1">
        <f>(AA54-Y54)*E54*F54-0.354</f>
        <v>438</v>
      </c>
      <c r="AC54" s="1">
        <v>2553</v>
      </c>
      <c r="AD54" s="19">
        <f>(AC54-AA54)*E54*F54-0.166</f>
        <v>466.99999999999994</v>
      </c>
      <c r="AE54" s="1">
        <v>2809</v>
      </c>
      <c r="AF54" s="1">
        <f>(AE54-AC54)*E54*F54-0.424</f>
        <v>263</v>
      </c>
    </row>
    <row r="55" spans="1:32" ht="15">
      <c r="A55" s="29"/>
      <c r="B55" s="21"/>
      <c r="C55" s="24"/>
      <c r="D55" s="24"/>
      <c r="E55" s="24"/>
      <c r="F55" s="24"/>
      <c r="G55" s="1" t="s">
        <v>18</v>
      </c>
      <c r="H55" s="1"/>
      <c r="I55" s="1"/>
      <c r="J55" s="10"/>
      <c r="K55" s="1"/>
      <c r="L55" s="10"/>
      <c r="M55" s="1"/>
      <c r="N55" s="10"/>
      <c r="O55" s="1"/>
      <c r="P55" s="10"/>
      <c r="Q55" s="14">
        <v>1</v>
      </c>
      <c r="R55" s="10">
        <v>0</v>
      </c>
      <c r="S55" s="1">
        <v>280</v>
      </c>
      <c r="T55" s="15">
        <f>(S55-Q55)*E54*F54-0.091</f>
        <v>286.99999999999994</v>
      </c>
      <c r="U55" s="1">
        <v>542</v>
      </c>
      <c r="V55" s="10">
        <f>(U55-S55)*E54*F54+0.402</f>
        <v>269.99999999999994</v>
      </c>
      <c r="W55" s="1">
        <v>796</v>
      </c>
      <c r="X55" s="10">
        <f>(W55-U55)*E54*F54-0.366</f>
        <v>261</v>
      </c>
      <c r="Y55" s="1">
        <v>1046</v>
      </c>
      <c r="Z55" s="15">
        <f>(Y55-W55)*E54*F54-0.25</f>
        <v>257</v>
      </c>
      <c r="AA55" s="1">
        <v>1369</v>
      </c>
      <c r="AB55" s="1">
        <f>(AA55-Y55)*E54*F54+0.633</f>
        <v>332.99999999999994</v>
      </c>
      <c r="AC55" s="1">
        <v>1678</v>
      </c>
      <c r="AD55" s="19">
        <f>(AC55-AA55)*E54*F54+0.039</f>
        <v>317.99999999999994</v>
      </c>
      <c r="AE55" s="1">
        <v>1856</v>
      </c>
      <c r="AF55" s="1">
        <f>(AE55-AC55)*E54*F54-0.162</f>
        <v>182.99999999999997</v>
      </c>
    </row>
    <row r="56" spans="1:32" ht="15" customHeight="1">
      <c r="A56" s="29"/>
      <c r="B56" s="20">
        <v>25</v>
      </c>
      <c r="C56" s="24">
        <v>489333</v>
      </c>
      <c r="D56" s="24" t="s">
        <v>19</v>
      </c>
      <c r="E56" s="24">
        <v>10</v>
      </c>
      <c r="F56" s="27">
        <v>1.029</v>
      </c>
      <c r="G56" s="1" t="s">
        <v>17</v>
      </c>
      <c r="H56" s="1">
        <v>3646</v>
      </c>
      <c r="I56" s="1">
        <v>3681</v>
      </c>
      <c r="J56" s="10">
        <f>(I56-H56)*E56*F56-0.15</f>
        <v>360</v>
      </c>
      <c r="K56" s="1">
        <v>3717</v>
      </c>
      <c r="L56" s="10">
        <f>(K56-I56)*E52*F52</f>
        <v>370.43999999999994</v>
      </c>
      <c r="M56" s="1">
        <v>3760</v>
      </c>
      <c r="N56" s="10">
        <f>(M56-K56)*E56*F56</f>
        <v>442.46999999999997</v>
      </c>
      <c r="O56" s="1">
        <v>3784</v>
      </c>
      <c r="P56" s="10">
        <f>(O56-M56)*E56*F56+0.04</f>
        <v>246.99999999999997</v>
      </c>
      <c r="Q56" s="14">
        <f>3820-11.2</f>
        <v>3808.8</v>
      </c>
      <c r="R56" s="10">
        <f>(Q56-O56)*E56*F56-0.19</f>
        <v>255.00200000000186</v>
      </c>
      <c r="S56" s="22" t="s">
        <v>40</v>
      </c>
      <c r="T56" s="15">
        <v>0</v>
      </c>
      <c r="U56" s="1"/>
      <c r="V56" s="10">
        <v>0</v>
      </c>
      <c r="W56" s="1"/>
      <c r="X56" s="10">
        <f>(W56-U56)*E56*F56</f>
        <v>0</v>
      </c>
      <c r="Y56" s="1"/>
      <c r="Z56" s="19">
        <f>(Y56-W56)*E56*F56</f>
        <v>0</v>
      </c>
      <c r="AA56" s="1"/>
      <c r="AB56" s="1">
        <f>(AA56-Y56)*E56*F56</f>
        <v>0</v>
      </c>
      <c r="AC56" s="1"/>
      <c r="AD56" s="19">
        <f>(AC56-AA56)*E56*F56</f>
        <v>0</v>
      </c>
      <c r="AE56" s="1"/>
      <c r="AF56" s="1">
        <f>(AE56-AC56)*E56*F56</f>
        <v>0</v>
      </c>
    </row>
    <row r="57" spans="1:32" ht="15">
      <c r="A57" s="29"/>
      <c r="B57" s="21"/>
      <c r="C57" s="24"/>
      <c r="D57" s="24"/>
      <c r="E57" s="24"/>
      <c r="F57" s="24"/>
      <c r="G57" s="1" t="s">
        <v>18</v>
      </c>
      <c r="H57" s="1">
        <v>1888</v>
      </c>
      <c r="I57" s="1">
        <v>1909</v>
      </c>
      <c r="J57" s="10">
        <f>(I57-H57)*E56*F56+0.09</f>
        <v>216.17999999999998</v>
      </c>
      <c r="K57" s="1">
        <v>1926</v>
      </c>
      <c r="L57" s="10">
        <f>(K57-I57)*E56*F56</f>
        <v>174.92999999999998</v>
      </c>
      <c r="M57" s="1">
        <v>1954</v>
      </c>
      <c r="N57" s="10">
        <f>(M57-K57)*E56*F56</f>
        <v>288.12</v>
      </c>
      <c r="O57" s="1">
        <v>1970</v>
      </c>
      <c r="P57" s="10">
        <f>(O57-M57)*E56*F56+0.36</f>
        <v>165</v>
      </c>
      <c r="Q57" s="14">
        <f>1989-2.467</f>
        <v>1986.533</v>
      </c>
      <c r="R57" s="10">
        <f>(Q57-O57)*E56*F56-0.125</f>
        <v>169.99956999999898</v>
      </c>
      <c r="S57" s="23"/>
      <c r="T57" s="10">
        <v>0</v>
      </c>
      <c r="U57" s="1"/>
      <c r="V57" s="10">
        <f>(U57-S57)*E56*F56</f>
        <v>0</v>
      </c>
      <c r="W57" s="1"/>
      <c r="X57" s="10">
        <f>(W57-U57)*E56*F56</f>
        <v>0</v>
      </c>
      <c r="Y57" s="1"/>
      <c r="Z57" s="19">
        <f>(Y57-W57)*E56*F56</f>
        <v>0</v>
      </c>
      <c r="AA57" s="1"/>
      <c r="AB57" s="1">
        <f>(AA57-Y57)*E56*F56</f>
        <v>0</v>
      </c>
      <c r="AC57" s="1"/>
      <c r="AD57" s="19">
        <f>(AC57-AA57)*E56*F56</f>
        <v>0</v>
      </c>
      <c r="AE57" s="1"/>
      <c r="AF57" s="1">
        <f>(AE57-AC57)*E56*F56</f>
        <v>0</v>
      </c>
    </row>
    <row r="58" spans="1:32" ht="15">
      <c r="A58" s="29"/>
      <c r="B58" s="20">
        <v>8</v>
      </c>
      <c r="C58" s="24">
        <v>340764</v>
      </c>
      <c r="D58" s="24" t="s">
        <v>19</v>
      </c>
      <c r="E58" s="24">
        <v>1</v>
      </c>
      <c r="F58" s="27">
        <v>1.029</v>
      </c>
      <c r="G58" s="1" t="s">
        <v>17</v>
      </c>
      <c r="H58" s="1"/>
      <c r="I58" s="1"/>
      <c r="J58" s="10"/>
      <c r="K58" s="1"/>
      <c r="L58" s="10"/>
      <c r="M58" s="1"/>
      <c r="N58" s="10"/>
      <c r="O58" s="1"/>
      <c r="P58" s="10"/>
      <c r="Q58" s="14">
        <v>1</v>
      </c>
      <c r="R58" s="10">
        <v>0</v>
      </c>
      <c r="S58" s="1">
        <v>364</v>
      </c>
      <c r="T58" s="15">
        <f>(S58-Q58)*E58*F58-0.527</f>
        <v>373</v>
      </c>
      <c r="U58" s="1">
        <v>724</v>
      </c>
      <c r="V58" s="10">
        <f>(U58-S58)*E58*F58+0.56</f>
        <v>370.99999999999994</v>
      </c>
      <c r="W58" s="1">
        <v>1125</v>
      </c>
      <c r="X58" s="10">
        <f>(W58-U58)*E58*F58+0.371</f>
        <v>412.99999999999994</v>
      </c>
      <c r="Y58" s="1">
        <v>1536</v>
      </c>
      <c r="Z58" s="15">
        <f>(Y58-W58)*E58*F58+0.081</f>
        <v>423</v>
      </c>
      <c r="AA58" s="1">
        <v>1927</v>
      </c>
      <c r="AB58" s="1">
        <f>(AA58-Y58)*E58*F58-0.339-45</f>
        <v>356.99999999999994</v>
      </c>
      <c r="AC58" s="1">
        <v>2364</v>
      </c>
      <c r="AD58" s="19">
        <f>(AC58-AA58)*E58*F58+0.327</f>
        <v>449.99999999999994</v>
      </c>
      <c r="AE58" s="1">
        <v>2641</v>
      </c>
      <c r="AF58" s="1">
        <f>(AE58-AC58)*E58*F58-0.033</f>
        <v>284.99999999999994</v>
      </c>
    </row>
    <row r="59" spans="1:32" ht="15">
      <c r="A59" s="29"/>
      <c r="B59" s="21"/>
      <c r="C59" s="24"/>
      <c r="D59" s="24"/>
      <c r="E59" s="24"/>
      <c r="F59" s="24"/>
      <c r="G59" s="1" t="s">
        <v>18</v>
      </c>
      <c r="H59" s="1"/>
      <c r="I59" s="1"/>
      <c r="J59" s="10"/>
      <c r="K59" s="1"/>
      <c r="L59" s="10"/>
      <c r="M59" s="1"/>
      <c r="N59" s="10"/>
      <c r="O59" s="1"/>
      <c r="P59" s="10"/>
      <c r="Q59" s="14">
        <v>1</v>
      </c>
      <c r="R59" s="10">
        <v>0</v>
      </c>
      <c r="S59" s="1">
        <v>245</v>
      </c>
      <c r="T59" s="15">
        <f>(S59-Q59)*E58*F58-0.076</f>
        <v>250.99999999999997</v>
      </c>
      <c r="U59" s="1">
        <v>463</v>
      </c>
      <c r="V59" s="10">
        <f>(U59-S59)*E58*F58-0.322</f>
        <v>223.99999999999997</v>
      </c>
      <c r="W59" s="1">
        <v>712</v>
      </c>
      <c r="X59" s="10">
        <f>(W59-U59)*E58*F58-0.221</f>
        <v>256</v>
      </c>
      <c r="Y59" s="1">
        <v>983</v>
      </c>
      <c r="Z59" s="15">
        <f>(Y59-W59)*E58*F58+0.141</f>
        <v>279</v>
      </c>
      <c r="AA59" s="1">
        <v>1294</v>
      </c>
      <c r="AB59" s="10">
        <f>(AA59-Y59)*E58*F58-0.019-29</f>
        <v>290.99999999999994</v>
      </c>
      <c r="AC59" s="1">
        <v>1599</v>
      </c>
      <c r="AD59" s="19">
        <f>(AC59-AA59)*E58*F58+0.155</f>
        <v>313.99999999999994</v>
      </c>
      <c r="AE59" s="1">
        <v>1800</v>
      </c>
      <c r="AF59" s="1">
        <f>(AE59-AC59)*E58*F58+0.171</f>
        <v>206.99999999999997</v>
      </c>
    </row>
    <row r="60" spans="1:32" ht="15" customHeight="1">
      <c r="A60" s="29"/>
      <c r="B60" s="20">
        <v>30</v>
      </c>
      <c r="C60" s="24">
        <v>562006</v>
      </c>
      <c r="D60" s="25" t="s">
        <v>19</v>
      </c>
      <c r="E60" s="24">
        <v>10</v>
      </c>
      <c r="F60" s="27">
        <v>1.029</v>
      </c>
      <c r="G60" s="1" t="s">
        <v>17</v>
      </c>
      <c r="H60" s="1">
        <v>4308</v>
      </c>
      <c r="I60" s="1">
        <v>4346</v>
      </c>
      <c r="J60" s="10">
        <f>(I60-H60)*E60*F60+0.02</f>
        <v>391.03999999999996</v>
      </c>
      <c r="K60" s="1">
        <v>4383</v>
      </c>
      <c r="L60" s="10">
        <f>(K60-I60)*E60*F60</f>
        <v>380.72999999999996</v>
      </c>
      <c r="M60" s="1">
        <v>4422</v>
      </c>
      <c r="N60" s="10">
        <f>(M60-K60)*E60*F60</f>
        <v>401.30999999999995</v>
      </c>
      <c r="O60" s="1">
        <v>4447</v>
      </c>
      <c r="P60" s="10">
        <f>(O60-M60)*E60*F60-0.25</f>
        <v>257</v>
      </c>
      <c r="Q60" s="14">
        <f>4493-20.167</f>
        <v>4472.833</v>
      </c>
      <c r="R60" s="10">
        <f>(Q60-O60)*E60*F60+0.18</f>
        <v>266.00156999999615</v>
      </c>
      <c r="S60" s="22" t="s">
        <v>40</v>
      </c>
      <c r="T60" s="15">
        <v>0</v>
      </c>
      <c r="U60" s="1"/>
      <c r="V60" s="10">
        <v>0</v>
      </c>
      <c r="W60" s="1"/>
      <c r="X60" s="10">
        <f>(W60-U60)*E60*F60</f>
        <v>0</v>
      </c>
      <c r="Y60" s="1"/>
      <c r="Z60" s="15">
        <f>(Y60-W60)*E60*F60</f>
        <v>0</v>
      </c>
      <c r="AA60" s="1"/>
      <c r="AB60" s="1">
        <f>(AA60-Y60)*E60*F60</f>
        <v>0</v>
      </c>
      <c r="AC60" s="1"/>
      <c r="AD60" s="19">
        <f>(AC60-AA60)*E60*F60</f>
        <v>0</v>
      </c>
      <c r="AE60" s="1"/>
      <c r="AF60" s="1">
        <f>(AE60-AC60)*E60*F60</f>
        <v>0</v>
      </c>
    </row>
    <row r="61" spans="1:32" ht="15" customHeight="1">
      <c r="A61" s="29"/>
      <c r="B61" s="21"/>
      <c r="C61" s="24"/>
      <c r="D61" s="26"/>
      <c r="E61" s="24"/>
      <c r="F61" s="24"/>
      <c r="G61" s="1" t="s">
        <v>18</v>
      </c>
      <c r="H61" s="1">
        <v>2471</v>
      </c>
      <c r="I61" s="1">
        <v>2508</v>
      </c>
      <c r="J61" s="10">
        <f>(I61-H61)*E60*F60+0.27</f>
        <v>380.99999999999994</v>
      </c>
      <c r="K61" s="1">
        <v>2543</v>
      </c>
      <c r="L61" s="10">
        <f>(K61-I61)*E60*F60</f>
        <v>360.15</v>
      </c>
      <c r="M61" s="1">
        <v>2580</v>
      </c>
      <c r="N61" s="10">
        <f>(M61-K61)*E60*F60</f>
        <v>380.72999999999996</v>
      </c>
      <c r="O61" s="1">
        <v>2602</v>
      </c>
      <c r="P61" s="10">
        <f>(O61-M61)*E60*F60-0.38</f>
        <v>226</v>
      </c>
      <c r="Q61" s="1">
        <f>2626-1.267</f>
        <v>2624.733</v>
      </c>
      <c r="R61" s="10">
        <f>(Q61-O61)*E60*F60+0.077</f>
        <v>233.99957000000177</v>
      </c>
      <c r="S61" s="23"/>
      <c r="T61" s="15">
        <v>0</v>
      </c>
      <c r="U61" s="1"/>
      <c r="V61" s="10">
        <f>(U61-S61)*E60*F60</f>
        <v>0</v>
      </c>
      <c r="W61" s="1"/>
      <c r="X61" s="10">
        <f>(W61-U61)*E60*F60</f>
        <v>0</v>
      </c>
      <c r="Y61" s="1"/>
      <c r="Z61" s="19">
        <f>(Y61-W61)*E60*F60</f>
        <v>0</v>
      </c>
      <c r="AA61" s="1"/>
      <c r="AB61" s="1">
        <f>(AA61-Y61)*E60*F60</f>
        <v>0</v>
      </c>
      <c r="AC61" s="1"/>
      <c r="AD61" s="19">
        <f>(AC61-AA61)*E60*F60</f>
        <v>0</v>
      </c>
      <c r="AE61" s="1"/>
      <c r="AF61" s="1">
        <f>(AE61-AC61)*E60*F60</f>
        <v>0</v>
      </c>
    </row>
    <row r="62" spans="1:32" ht="15">
      <c r="A62" s="29"/>
      <c r="B62" s="20">
        <v>3</v>
      </c>
      <c r="C62" s="24">
        <v>340746</v>
      </c>
      <c r="D62" s="25" t="s">
        <v>19</v>
      </c>
      <c r="E62" s="24">
        <v>1</v>
      </c>
      <c r="F62" s="27">
        <v>1.029</v>
      </c>
      <c r="G62" s="1" t="s">
        <v>17</v>
      </c>
      <c r="H62" s="1"/>
      <c r="I62" s="1"/>
      <c r="J62" s="10"/>
      <c r="K62" s="1"/>
      <c r="L62" s="10"/>
      <c r="M62" s="1"/>
      <c r="N62" s="10"/>
      <c r="O62" s="1"/>
      <c r="P62" s="10"/>
      <c r="Q62" s="1">
        <v>1</v>
      </c>
      <c r="R62" s="10">
        <v>0</v>
      </c>
      <c r="S62" s="1">
        <v>339</v>
      </c>
      <c r="T62" s="15">
        <f>(S62-Q62)*E62*F62+0.198</f>
        <v>347.99999999999994</v>
      </c>
      <c r="U62" s="1">
        <v>727</v>
      </c>
      <c r="V62" s="10">
        <f>(U62-S62)*E62*F62-0.252</f>
        <v>398.99999999999994</v>
      </c>
      <c r="W62" s="1">
        <v>1143</v>
      </c>
      <c r="X62" s="10">
        <f>(W62-U62)*E62*F62-0.064</f>
        <v>427.99999999999994</v>
      </c>
      <c r="Y62" s="1">
        <v>1580</v>
      </c>
      <c r="Z62" s="15">
        <f>(Y62-W62)*E62*F62+0.327</f>
        <v>449.99999999999994</v>
      </c>
      <c r="AA62" s="1">
        <v>2032</v>
      </c>
      <c r="AB62" s="1">
        <f>(AA62-Y62)*E62*F62-0.108+46</f>
        <v>510.99999999999994</v>
      </c>
      <c r="AC62" s="1">
        <v>2498</v>
      </c>
      <c r="AD62" s="19">
        <f>(AC62-AA62)*E62*F62+0.486</f>
        <v>479.99999999999994</v>
      </c>
      <c r="AE62" s="1">
        <v>2855</v>
      </c>
      <c r="AF62" s="1">
        <f>(AE62-AC62)*E62*F62-0.353</f>
        <v>366.99999999999994</v>
      </c>
    </row>
    <row r="63" spans="1:32" ht="15">
      <c r="A63" s="29"/>
      <c r="B63" s="21"/>
      <c r="C63" s="24"/>
      <c r="D63" s="26"/>
      <c r="E63" s="24"/>
      <c r="F63" s="24"/>
      <c r="G63" s="1" t="s">
        <v>18</v>
      </c>
      <c r="H63" s="1"/>
      <c r="I63" s="1"/>
      <c r="J63" s="10"/>
      <c r="K63" s="1"/>
      <c r="L63" s="10"/>
      <c r="M63" s="1"/>
      <c r="N63" s="10"/>
      <c r="O63" s="1"/>
      <c r="P63" s="10"/>
      <c r="Q63" s="1">
        <v>1</v>
      </c>
      <c r="R63" s="10">
        <v>0</v>
      </c>
      <c r="S63" s="1">
        <v>232</v>
      </c>
      <c r="T63" s="15">
        <f>(S63-Q63)*E62*F62+0.301</f>
        <v>237.99999999999997</v>
      </c>
      <c r="U63" s="1">
        <v>507</v>
      </c>
      <c r="V63" s="10">
        <f>(U63-S63)*E62*F62+0.025</f>
        <v>282.99999999999994</v>
      </c>
      <c r="W63" s="1">
        <v>761</v>
      </c>
      <c r="X63" s="10">
        <f>(W63-U63)*E62*F62-0.366</f>
        <v>261</v>
      </c>
      <c r="Y63" s="1">
        <v>1011</v>
      </c>
      <c r="Z63" s="15">
        <f>(Y63-W63)*E62*F62-0.25</f>
        <v>257</v>
      </c>
      <c r="AA63" s="1">
        <v>1332</v>
      </c>
      <c r="AB63" s="1">
        <f>(AA63-Y63)*E62*F62-0.309+29</f>
        <v>358.99999999999994</v>
      </c>
      <c r="AC63" s="1">
        <v>1604</v>
      </c>
      <c r="AD63" s="19">
        <f>(AC63-AA63)*E62*F62+0.112</f>
        <v>280</v>
      </c>
      <c r="AE63" s="1">
        <v>1857</v>
      </c>
      <c r="AF63" s="1">
        <f>(AE63-AC63)*E62*F62-0.337</f>
        <v>260</v>
      </c>
    </row>
    <row r="64" spans="1:32" ht="15">
      <c r="A64" s="29"/>
      <c r="B64" s="17"/>
      <c r="C64" s="31" t="s">
        <v>22</v>
      </c>
      <c r="D64" s="32"/>
      <c r="E64" s="33"/>
      <c r="F64" s="8"/>
      <c r="G64" s="5" t="s">
        <v>17</v>
      </c>
      <c r="H64" s="11"/>
      <c r="I64" s="11"/>
      <c r="J64" s="11">
        <f>J4+J8+J12+J16+J20+J24+J28+J32+J36+J40+J44+J48+J52+J56+J60</f>
        <v>23834.0316</v>
      </c>
      <c r="K64" s="11"/>
      <c r="L64" s="11">
        <f>L4+L8+L12+L16+L20+L24+L28+L32+L36+L40+L44+L48+L52+L56+L60</f>
        <v>22761.695000000003</v>
      </c>
      <c r="M64" s="6"/>
      <c r="N64" s="11">
        <f>N4+N8+N12+N16+N20+N24+N28+N32+N36+N40+N44+N48+N52+N56+N60</f>
        <v>18920.7072</v>
      </c>
      <c r="O64" s="6"/>
      <c r="P64" s="11">
        <f>P4+P8+P12+P16+P20+P24+P28+P32+P36+P40+P44+P48+P52+P56+P60</f>
        <v>10533.9963</v>
      </c>
      <c r="Q64" s="6"/>
      <c r="R64" s="11">
        <f>R4+R8+R12+R16+R20+R24+R28+R32+R36+R40+R44+R48+R52+R56+R60</f>
        <v>10885.468992299966</v>
      </c>
      <c r="S64" s="6"/>
      <c r="T64" s="11">
        <f>T4+T6+T8+T10+T12+T14+T16+T18+T20+T22+T24+T26+T28+T30+T32+T34+T36+T38+T40+T42+T44+T46+T48+T50+T52+T54+T56+T58+T60+T62</f>
        <v>9849.9984</v>
      </c>
      <c r="U64" s="11"/>
      <c r="V64" s="11">
        <f aca="true" t="shared" si="0" ref="V64:AF64">V4+V6+V8+V10+V12+V14+V16+V18+V20+V22+V24+V26+V28+V30+V32+V34+V36+V38+V40+V42+V44+V46+V48+V50+V52+V54+V56+V58+V60+V62</f>
        <v>13022.999600000001</v>
      </c>
      <c r="W64" s="11"/>
      <c r="X64" s="11">
        <f t="shared" si="0"/>
        <v>12744</v>
      </c>
      <c r="Y64" s="11"/>
      <c r="Z64" s="11">
        <f t="shared" si="0"/>
        <v>16526</v>
      </c>
      <c r="AA64" s="11"/>
      <c r="AB64" s="11">
        <f t="shared" si="0"/>
        <v>16226</v>
      </c>
      <c r="AC64" s="11"/>
      <c r="AD64" s="11">
        <f t="shared" si="0"/>
        <v>18761</v>
      </c>
      <c r="AE64" s="11"/>
      <c r="AF64" s="11">
        <f t="shared" si="0"/>
        <v>13033</v>
      </c>
    </row>
    <row r="65" spans="1:32" ht="15">
      <c r="A65" s="30"/>
      <c r="B65" s="18"/>
      <c r="C65" s="34"/>
      <c r="D65" s="35"/>
      <c r="E65" s="36"/>
      <c r="F65" s="9"/>
      <c r="G65" s="5" t="s">
        <v>18</v>
      </c>
      <c r="H65" s="11"/>
      <c r="I65" s="11"/>
      <c r="J65" s="11">
        <f>J5+J9+J13+J17+J21+J25+J29+J33+J37+J41+J45+J49+J53+J57+J61</f>
        <v>24297.1075</v>
      </c>
      <c r="K65" s="11"/>
      <c r="L65" s="11">
        <f>L5+L9+L13+L17+L21+L25+L29+L33+L37+L41+L45+L49+L53+L57+L61</f>
        <v>20910.5929</v>
      </c>
      <c r="M65" s="11"/>
      <c r="N65" s="11">
        <f>N5+N9+N13+N17+N21+N25+N29+N33+N37+N41+N45+N49+N53+N57+N61</f>
        <v>18976.485299999997</v>
      </c>
      <c r="O65" s="11"/>
      <c r="P65" s="11">
        <f>P5+P9+P13+P17+P21+P25+P29+P33+P37+P41+P45+P49+P53+P57+P61</f>
        <v>12157.0043</v>
      </c>
      <c r="Q65" s="11"/>
      <c r="R65" s="11">
        <f>R5+R9+R13+R17+R21+R25+R29+R33+R37+R41+R45+R49+R53+R57+R61</f>
        <v>12562.143909049999</v>
      </c>
      <c r="S65" s="11"/>
      <c r="T65" s="11">
        <f>T5+T7+T9+T11+T13+T15+T17+T19+T21+T23+T25+T27+T29+T31+T33+T35+T37+T39+T41+T43+T45+T47+T49+T51+T53+T55+T57+T59+T61+T63</f>
        <v>11467.9998</v>
      </c>
      <c r="U65" s="11"/>
      <c r="V65" s="11">
        <f aca="true" t="shared" si="1" ref="V65:AF65">V5+V7+V9+V11+V13+V15+V17+V19+V21+V23+V25+V27+V29+V31+V33+V35+V37+V39+V41+V43+V45+V47+V49+V51+V53+V55+V57+V59+V61+V63</f>
        <v>11817.9999</v>
      </c>
      <c r="W65" s="11"/>
      <c r="X65" s="11">
        <f t="shared" si="1"/>
        <v>10911</v>
      </c>
      <c r="Y65" s="11"/>
      <c r="Z65" s="11">
        <f t="shared" si="1"/>
        <v>14691</v>
      </c>
      <c r="AA65" s="11"/>
      <c r="AB65" s="11">
        <f t="shared" si="1"/>
        <v>16830.999999999996</v>
      </c>
      <c r="AC65" s="11"/>
      <c r="AD65" s="11">
        <f t="shared" si="1"/>
        <v>17144</v>
      </c>
      <c r="AE65" s="11"/>
      <c r="AF65" s="11">
        <f t="shared" si="1"/>
        <v>13288</v>
      </c>
    </row>
    <row r="66" ht="15">
      <c r="P66" s="13"/>
    </row>
  </sheetData>
  <sheetProtection/>
  <mergeCells count="167">
    <mergeCell ref="S32:S33"/>
    <mergeCell ref="S48:S49"/>
    <mergeCell ref="C50:C51"/>
    <mergeCell ref="D50:D51"/>
    <mergeCell ref="E50:E51"/>
    <mergeCell ref="F50:F51"/>
    <mergeCell ref="S40:S41"/>
    <mergeCell ref="C46:C47"/>
    <mergeCell ref="D46:D47"/>
    <mergeCell ref="E46:E47"/>
    <mergeCell ref="S44:S45"/>
    <mergeCell ref="E44:E45"/>
    <mergeCell ref="E40:E41"/>
    <mergeCell ref="D42:D43"/>
    <mergeCell ref="E42:E43"/>
    <mergeCell ref="D40:D41"/>
    <mergeCell ref="E38:E39"/>
    <mergeCell ref="F38:F39"/>
    <mergeCell ref="S36:S37"/>
    <mergeCell ref="C34:C35"/>
    <mergeCell ref="D34:D35"/>
    <mergeCell ref="E34:E35"/>
    <mergeCell ref="F34:F35"/>
    <mergeCell ref="C36:C37"/>
    <mergeCell ref="D36:D37"/>
    <mergeCell ref="S28:S29"/>
    <mergeCell ref="C26:C27"/>
    <mergeCell ref="D26:D27"/>
    <mergeCell ref="E26:E27"/>
    <mergeCell ref="F26:F27"/>
    <mergeCell ref="E28:E29"/>
    <mergeCell ref="S20:S21"/>
    <mergeCell ref="F20:F21"/>
    <mergeCell ref="D20:D21"/>
    <mergeCell ref="S24:S25"/>
    <mergeCell ref="E24:E25"/>
    <mergeCell ref="E20:E21"/>
    <mergeCell ref="E22:E23"/>
    <mergeCell ref="S12:S13"/>
    <mergeCell ref="C18:C19"/>
    <mergeCell ref="D18:D19"/>
    <mergeCell ref="E18:E19"/>
    <mergeCell ref="F18:F19"/>
    <mergeCell ref="S16:S17"/>
    <mergeCell ref="C12:C13"/>
    <mergeCell ref="D12:D13"/>
    <mergeCell ref="E12:E13"/>
    <mergeCell ref="C16:C17"/>
    <mergeCell ref="S4:S5"/>
    <mergeCell ref="C10:C11"/>
    <mergeCell ref="D10:D11"/>
    <mergeCell ref="E10:E11"/>
    <mergeCell ref="F10:F11"/>
    <mergeCell ref="S8:S9"/>
    <mergeCell ref="C4:C5"/>
    <mergeCell ref="D4:D5"/>
    <mergeCell ref="E4:E5"/>
    <mergeCell ref="C8:C9"/>
    <mergeCell ref="F56:F57"/>
    <mergeCell ref="F42:F43"/>
    <mergeCell ref="F24:F25"/>
    <mergeCell ref="F4:F5"/>
    <mergeCell ref="F8:F9"/>
    <mergeCell ref="F12:F13"/>
    <mergeCell ref="F16:F17"/>
    <mergeCell ref="F6:F7"/>
    <mergeCell ref="F14:F15"/>
    <mergeCell ref="F22:F23"/>
    <mergeCell ref="F54:F55"/>
    <mergeCell ref="F28:F29"/>
    <mergeCell ref="F32:F33"/>
    <mergeCell ref="F52:F53"/>
    <mergeCell ref="F30:F31"/>
    <mergeCell ref="F36:F37"/>
    <mergeCell ref="F40:F41"/>
    <mergeCell ref="F44:F45"/>
    <mergeCell ref="F48:F49"/>
    <mergeCell ref="F46:F47"/>
    <mergeCell ref="C6:C7"/>
    <mergeCell ref="D6:D7"/>
    <mergeCell ref="E6:E7"/>
    <mergeCell ref="C32:C33"/>
    <mergeCell ref="C28:C29"/>
    <mergeCell ref="E16:E17"/>
    <mergeCell ref="C14:C15"/>
    <mergeCell ref="D14:D15"/>
    <mergeCell ref="E14:E15"/>
    <mergeCell ref="D28:D29"/>
    <mergeCell ref="D54:D55"/>
    <mergeCell ref="E54:E55"/>
    <mergeCell ref="C52:C53"/>
    <mergeCell ref="E8:E9"/>
    <mergeCell ref="D52:D53"/>
    <mergeCell ref="E52:E53"/>
    <mergeCell ref="D32:D33"/>
    <mergeCell ref="E30:E31"/>
    <mergeCell ref="E48:E49"/>
    <mergeCell ref="C38:C39"/>
    <mergeCell ref="D8:D9"/>
    <mergeCell ref="D16:D17"/>
    <mergeCell ref="D22:D23"/>
    <mergeCell ref="C30:C31"/>
    <mergeCell ref="D30:D31"/>
    <mergeCell ref="D24:D25"/>
    <mergeCell ref="C22:C23"/>
    <mergeCell ref="A4:A65"/>
    <mergeCell ref="C60:C61"/>
    <mergeCell ref="D60:D61"/>
    <mergeCell ref="E60:E61"/>
    <mergeCell ref="C24:C25"/>
    <mergeCell ref="E36:E37"/>
    <mergeCell ref="E32:E33"/>
    <mergeCell ref="C64:E65"/>
    <mergeCell ref="C20:C21"/>
    <mergeCell ref="C48:C49"/>
    <mergeCell ref="C42:C43"/>
    <mergeCell ref="D38:D39"/>
    <mergeCell ref="D48:D49"/>
    <mergeCell ref="C44:C45"/>
    <mergeCell ref="D44:D45"/>
    <mergeCell ref="C40:C41"/>
    <mergeCell ref="S52:S53"/>
    <mergeCell ref="C58:C59"/>
    <mergeCell ref="D58:D59"/>
    <mergeCell ref="E58:E59"/>
    <mergeCell ref="F58:F59"/>
    <mergeCell ref="S56:S57"/>
    <mergeCell ref="C56:C57"/>
    <mergeCell ref="D56:D57"/>
    <mergeCell ref="E56:E57"/>
    <mergeCell ref="C54:C55"/>
    <mergeCell ref="S60:S61"/>
    <mergeCell ref="C62:C63"/>
    <mergeCell ref="D62:D63"/>
    <mergeCell ref="E62:E63"/>
    <mergeCell ref="F62:F63"/>
    <mergeCell ref="F60:F61"/>
    <mergeCell ref="B24:B25"/>
    <mergeCell ref="B26:B27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48:B49"/>
    <mergeCell ref="B50:B51"/>
    <mergeCell ref="B28:B29"/>
    <mergeCell ref="B30:B31"/>
    <mergeCell ref="B32:B33"/>
    <mergeCell ref="B34:B35"/>
    <mergeCell ref="B36:B37"/>
    <mergeCell ref="B38:B39"/>
    <mergeCell ref="B40:B41"/>
    <mergeCell ref="B42:B43"/>
    <mergeCell ref="B44:B45"/>
    <mergeCell ref="B46:B47"/>
    <mergeCell ref="B60:B61"/>
    <mergeCell ref="B62:B63"/>
    <mergeCell ref="B52:B53"/>
    <mergeCell ref="B54:B55"/>
    <mergeCell ref="B56:B57"/>
    <mergeCell ref="B58:B59"/>
  </mergeCells>
  <printOptions/>
  <pageMargins left="0.31496062992125984" right="0" top="0.15748031496062992" bottom="0" header="0.31496062992125984" footer="0.31496062992125984"/>
  <pageSetup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2016-01-19T06:55:22Z</cp:lastPrinted>
  <dcterms:created xsi:type="dcterms:W3CDTF">2012-08-09T05:06:22Z</dcterms:created>
  <dcterms:modified xsi:type="dcterms:W3CDTF">2016-02-01T07:03:33Z</dcterms:modified>
  <cp:category/>
  <cp:version/>
  <cp:contentType/>
  <cp:contentStatus/>
</cp:coreProperties>
</file>