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220 (январь)" sheetId="1" r:id="rId1"/>
    <sheet name="220 (февраль)" sheetId="2" r:id="rId2"/>
    <sheet name="220 (март)" sheetId="3" r:id="rId3"/>
    <sheet name="220 (апрель)" sheetId="4" r:id="rId4"/>
    <sheet name="220 (май)" sheetId="5" r:id="rId5"/>
    <sheet name="220 (июнь)" sheetId="6" r:id="rId6"/>
    <sheet name="220 (июль)" sheetId="7" r:id="rId7"/>
    <sheet name="220 (август)" sheetId="8" r:id="rId8"/>
    <sheet name="220 (сентябрь)" sheetId="9" r:id="rId9"/>
    <sheet name="220 (октябрь)" sheetId="10" r:id="rId10"/>
    <sheet name="220 (ноябрь)" sheetId="11" r:id="rId11"/>
    <sheet name="220 (декабрь)" sheetId="12" r:id="rId12"/>
  </sheets>
  <definedNames/>
  <calcPr fullCalcOnLoad="1"/>
</workbook>
</file>

<file path=xl/sharedStrings.xml><?xml version="1.0" encoding="utf-8"?>
<sst xmlns="http://schemas.openxmlformats.org/spreadsheetml/2006/main" count="216" uniqueCount="40">
  <si>
    <t xml:space="preserve"> </t>
  </si>
  <si>
    <t>Услуга</t>
  </si>
  <si>
    <t xml:space="preserve">показания общедомового прибора учета </t>
  </si>
  <si>
    <t>начисление сторонним потребителям</t>
  </si>
  <si>
    <t>итого к предъявлению ОДН</t>
  </si>
  <si>
    <t>на 1 кв.м</t>
  </si>
  <si>
    <t>ГВС (тонн)</t>
  </si>
  <si>
    <t>водоотведение(тонн)</t>
  </si>
  <si>
    <t>итого по эл.эн.</t>
  </si>
  <si>
    <t>Волгоградская 220</t>
  </si>
  <si>
    <t xml:space="preserve">объем потребления </t>
  </si>
  <si>
    <t xml:space="preserve">начисление по индивидуальным приборам учета и нормативу </t>
  </si>
  <si>
    <t>ХВС (тонн)</t>
  </si>
  <si>
    <t>нагрев воды (г.кал.)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</si>
  <si>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</si>
  <si>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</si>
  <si>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январь в феврале 2016г.</t>
  </si>
  <si>
    <t>47161,/48019</t>
  </si>
  <si>
    <t>Объем коммунальных услуг по показаниям общедомовых приборов учета (ОДН) за февраль в марте 2016г.</t>
  </si>
  <si>
    <t>48019,/48945</t>
  </si>
  <si>
    <t>Объем коммунальных услуг по показаниям общедомовых приборов учета (ОДН) за март в апреле 2016г.</t>
  </si>
  <si>
    <t>48945,/50013</t>
  </si>
  <si>
    <t>Объем коммунальных услуг по показаниям общедомовых приборов учета (ОДН) за апрель в мае 2016г.</t>
  </si>
  <si>
    <t>50013,/50916</t>
  </si>
  <si>
    <t>Объем коммунальных услуг по показаниям общедомовых приборов учета (ОДН) за май в июнь 2016г.</t>
  </si>
  <si>
    <t>50916,/51956</t>
  </si>
  <si>
    <t>Объем коммунальных услуг по показаниям общедомовых приборов учета (ОДН) за июнь в июль 2016г.</t>
  </si>
  <si>
    <t>51956,/52749</t>
  </si>
  <si>
    <t>Объем коммунальных услуг по показаниям общедомовых приборов учета (ОДН) за июль в августе 2016г.</t>
  </si>
  <si>
    <t>52749,/53503</t>
  </si>
  <si>
    <t>Объем коммунальных услуг по показаниям общедомовых приборов учета (ОДН) за август в сентябре 2016г.</t>
  </si>
  <si>
    <t>53503,/54484</t>
  </si>
  <si>
    <t>Объем коммунальных услуг по показаниям общедомовых приборов учета (ОДН) за сентябрь в октябре 2016г.</t>
  </si>
  <si>
    <t>54484,/55289</t>
  </si>
  <si>
    <t>Объем коммунальных услуг по показаниям общедомовых приборов учета (ОДН) за октябрь в ноябре 2016г.</t>
  </si>
  <si>
    <t>55289 /56136</t>
  </si>
  <si>
    <t>Объем коммунальных услуг по показаниям общедомовых приборов учета (ОДН) за ноябрь в декабре 2016г.</t>
  </si>
  <si>
    <t>56136,/57220</t>
  </si>
  <si>
    <t>Объем коммунальных услуг по показаниям общедомовых приборов учета (ОДН) за декабрь в январе 2017г.</t>
  </si>
  <si>
    <t>57220,/58104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</si>
</sst>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0.0"/>
    <numFmt numFmtId="176" formatCode="0.000"/>
    <numFmt numFmtId="177" formatCode="0.0000"/>
    <numFmt numFmtId="178" formatCode="#,##0.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000000"/>
    <numFmt numFmtId="185" formatCode="0.00000000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24" borderId="10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2">
      <pane xSplit="3" ySplit="10" topLeftCell="D12" activePane="bottomRight" state="frozen"/>
      <selection pane="topLeft" activeCell="A2" sqref="A2"/>
      <selection pane="topRight" activeCell="E2" sqref="E2"/>
      <selection pane="bottomLeft" activeCell="A12" sqref="A12"/>
      <selection pane="bottomRight" activeCell="G7" sqref="G7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5.8515625" style="0" customWidth="1"/>
    <col min="7" max="8" width="12.140625" style="0" customWidth="1"/>
    <col min="9" max="9" width="9.57421875" style="0" bestFit="1" customWidth="1"/>
  </cols>
  <sheetData>
    <row r="3" spans="2:3" ht="15.75">
      <c r="B3" s="8" t="s">
        <v>16</v>
      </c>
      <c r="C3" s="8"/>
    </row>
    <row r="4" spans="1:8" ht="15">
      <c r="A4" s="30" t="s">
        <v>9</v>
      </c>
      <c r="B4" s="30"/>
      <c r="C4" s="30"/>
      <c r="D4" s="30"/>
      <c r="E4" s="30"/>
      <c r="F4" s="30"/>
      <c r="G4" s="30"/>
      <c r="H4" s="30"/>
    </row>
    <row r="5" spans="1:8" ht="75.75" customHeight="1">
      <c r="A5" s="26" t="s">
        <v>0</v>
      </c>
      <c r="B5" s="28" t="s">
        <v>1</v>
      </c>
      <c r="C5" s="26" t="s">
        <v>2</v>
      </c>
      <c r="D5" s="26" t="s">
        <v>10</v>
      </c>
      <c r="E5" s="26" t="s">
        <v>11</v>
      </c>
      <c r="F5" s="26" t="s">
        <v>3</v>
      </c>
      <c r="G5" s="26" t="s">
        <v>4</v>
      </c>
      <c r="H5" s="28" t="s">
        <v>5</v>
      </c>
    </row>
    <row r="6" spans="1:8" ht="37.5" customHeight="1">
      <c r="A6" s="27"/>
      <c r="B6" s="29"/>
      <c r="C6" s="27"/>
      <c r="D6" s="27"/>
      <c r="E6" s="27"/>
      <c r="F6" s="27"/>
      <c r="G6" s="27"/>
      <c r="H6" s="29"/>
    </row>
    <row r="7" spans="1:10" ht="15">
      <c r="A7" s="9">
        <v>1</v>
      </c>
      <c r="B7" s="10" t="s">
        <v>13</v>
      </c>
      <c r="C7" s="9"/>
      <c r="D7" s="11">
        <f>72.08</f>
        <v>72.08</v>
      </c>
      <c r="E7" s="11">
        <f>E8*0.0478+0.0019</f>
        <v>42.6555393856</v>
      </c>
      <c r="F7" s="11">
        <f>1.15+0.23+0.52+0.26</f>
        <v>2.16</v>
      </c>
      <c r="G7" s="15">
        <f>26.8893*0.0478+0.0001</f>
        <v>1.28540854</v>
      </c>
      <c r="H7" s="5">
        <f aca="true" t="shared" si="0" ref="H7:H13">G7/6753.3</f>
        <v>0.00019033784075933247</v>
      </c>
      <c r="J7" s="6"/>
    </row>
    <row r="8" spans="1:10" ht="15">
      <c r="A8" s="2">
        <v>2</v>
      </c>
      <c r="B8" s="3" t="s">
        <v>6</v>
      </c>
      <c r="C8" s="5"/>
      <c r="D8" s="5">
        <f>699.8</f>
        <v>699.8</v>
      </c>
      <c r="E8" s="15">
        <f>289.979-82.703448+516.49+168.57</f>
        <v>892.335552</v>
      </c>
      <c r="F8" s="15">
        <f>10.75+2.15+4.84+2.41</f>
        <v>20.150000000000002</v>
      </c>
      <c r="G8" s="15">
        <f>D8-E8-F8+22.3991</f>
        <v>-190.28645200000005</v>
      </c>
      <c r="H8" s="5">
        <f t="shared" si="0"/>
        <v>-0.02817681015207381</v>
      </c>
      <c r="J8" s="6"/>
    </row>
    <row r="9" spans="1:10" ht="15">
      <c r="A9" s="2">
        <v>3</v>
      </c>
      <c r="B9" s="3" t="s">
        <v>12</v>
      </c>
      <c r="C9" s="4" t="s">
        <v>17</v>
      </c>
      <c r="D9" s="4">
        <f>48019-47161</f>
        <v>858</v>
      </c>
      <c r="E9" s="15">
        <f>242.3328-69.237931+723.77+124.18</f>
        <v>1021.0448690000001</v>
      </c>
      <c r="F9" s="15">
        <f>9</f>
        <v>9</v>
      </c>
      <c r="G9" s="15">
        <f>D9-E9-F9+24.5479</f>
        <v>-147.49696900000006</v>
      </c>
      <c r="H9" s="5">
        <f t="shared" si="0"/>
        <v>-0.02184072512697497</v>
      </c>
      <c r="J9" s="6"/>
    </row>
    <row r="10" spans="1:8" ht="15">
      <c r="A10" s="2">
        <v>4</v>
      </c>
      <c r="B10" s="3" t="s">
        <v>7</v>
      </c>
      <c r="C10" s="4"/>
      <c r="D10" s="4">
        <f>D8+D9</f>
        <v>1557.8</v>
      </c>
      <c r="E10" s="15">
        <f>245.3304+1056.82+354.62+163.69+12.81+64.61+15.5</f>
        <v>1913.3803999999998</v>
      </c>
      <c r="F10" s="15">
        <f>F8+F9</f>
        <v>29.150000000000002</v>
      </c>
      <c r="G10" s="15">
        <v>0</v>
      </c>
      <c r="H10" s="5">
        <f t="shared" si="0"/>
        <v>0</v>
      </c>
    </row>
    <row r="11" spans="1:8" ht="15">
      <c r="A11" s="23">
        <v>5</v>
      </c>
      <c r="B11" s="14" t="s">
        <v>14</v>
      </c>
      <c r="C11" s="4"/>
      <c r="D11" s="5">
        <f>37325</f>
        <v>37325</v>
      </c>
      <c r="E11" s="15">
        <f>12610</f>
        <v>12610</v>
      </c>
      <c r="F11" s="15">
        <f>400</f>
        <v>400</v>
      </c>
      <c r="G11" s="15">
        <f>4979.5+0.0003</f>
        <v>4979.5003</v>
      </c>
      <c r="H11" s="5">
        <f t="shared" si="0"/>
        <v>0.7373432692165311</v>
      </c>
    </row>
    <row r="12" spans="1:8" ht="15">
      <c r="A12" s="24"/>
      <c r="B12" s="14" t="s">
        <v>15</v>
      </c>
      <c r="C12" s="4"/>
      <c r="D12" s="5">
        <f>54583</f>
        <v>54583</v>
      </c>
      <c r="E12" s="15">
        <f>12722</f>
        <v>12722</v>
      </c>
      <c r="F12" s="15">
        <f>300</f>
        <v>300</v>
      </c>
      <c r="G12" s="15">
        <v>0</v>
      </c>
      <c r="H12" s="5">
        <f t="shared" si="0"/>
        <v>0</v>
      </c>
    </row>
    <row r="13" spans="1:8" ht="15">
      <c r="A13" s="25"/>
      <c r="B13" s="12" t="s">
        <v>8</v>
      </c>
      <c r="C13" s="12"/>
      <c r="D13" s="13">
        <f>SUM(D11:D12)</f>
        <v>91908</v>
      </c>
      <c r="E13" s="16">
        <f>SUM(E11:E12)</f>
        <v>25332</v>
      </c>
      <c r="F13" s="16">
        <f>SUM(F11:F12)</f>
        <v>700</v>
      </c>
      <c r="G13" s="16">
        <f>SUM(G11:G12)</f>
        <v>4979.5003</v>
      </c>
      <c r="H13" s="5">
        <f t="shared" si="0"/>
        <v>0.7373432692165311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7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7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2">
      <pane xSplit="3" ySplit="10" topLeftCell="D12" activePane="bottomRight" state="frozen"/>
      <selection pane="topLeft" activeCell="A2" sqref="A2"/>
      <selection pane="topRight" activeCell="E2" sqref="E2"/>
      <selection pane="bottomLeft" activeCell="A12" sqref="A12"/>
      <selection pane="bottomRight" activeCell="G20" sqref="G20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5.8515625" style="0" customWidth="1"/>
    <col min="7" max="8" width="12.140625" style="0" customWidth="1"/>
    <col min="9" max="9" width="9.57421875" style="0" bestFit="1" customWidth="1"/>
  </cols>
  <sheetData>
    <row r="3" spans="2:3" ht="15.75">
      <c r="B3" s="8" t="s">
        <v>34</v>
      </c>
      <c r="C3" s="8"/>
    </row>
    <row r="4" spans="1:8" ht="15">
      <c r="A4" s="30" t="s">
        <v>9</v>
      </c>
      <c r="B4" s="30"/>
      <c r="C4" s="30"/>
      <c r="D4" s="30"/>
      <c r="E4" s="30"/>
      <c r="F4" s="30"/>
      <c r="G4" s="30"/>
      <c r="H4" s="30"/>
    </row>
    <row r="5" spans="1:8" ht="75.75" customHeight="1">
      <c r="A5" s="26" t="s">
        <v>0</v>
      </c>
      <c r="B5" s="28" t="s">
        <v>1</v>
      </c>
      <c r="C5" s="26" t="s">
        <v>2</v>
      </c>
      <c r="D5" s="26" t="s">
        <v>10</v>
      </c>
      <c r="E5" s="26" t="s">
        <v>11</v>
      </c>
      <c r="F5" s="26" t="s">
        <v>3</v>
      </c>
      <c r="G5" s="26" t="s">
        <v>4</v>
      </c>
      <c r="H5" s="28" t="s">
        <v>5</v>
      </c>
    </row>
    <row r="6" spans="1:8" ht="37.5" customHeight="1">
      <c r="A6" s="27"/>
      <c r="B6" s="29"/>
      <c r="C6" s="27"/>
      <c r="D6" s="27"/>
      <c r="E6" s="27"/>
      <c r="F6" s="27"/>
      <c r="G6" s="27"/>
      <c r="H6" s="29"/>
    </row>
    <row r="7" spans="1:10" ht="15.75">
      <c r="A7" s="9">
        <v>1</v>
      </c>
      <c r="B7" s="10" t="s">
        <v>13</v>
      </c>
      <c r="C7" s="18"/>
      <c r="D7" s="19">
        <v>63.31</v>
      </c>
      <c r="E7" s="19">
        <f>20.8681+49.4591-5.962296+0.0003</f>
        <v>64.365204</v>
      </c>
      <c r="F7" s="20">
        <v>1.84</v>
      </c>
      <c r="G7" s="4">
        <f>D7-E7-F7+0.2374</f>
        <v>-2.657804000000003</v>
      </c>
      <c r="H7" s="5">
        <f>G7/6751.8</f>
        <v>-0.0003936437690689895</v>
      </c>
      <c r="J7" s="6"/>
    </row>
    <row r="8" spans="1:10" ht="15">
      <c r="A8" s="2">
        <v>2</v>
      </c>
      <c r="B8" s="3" t="s">
        <v>6</v>
      </c>
      <c r="C8" s="5"/>
      <c r="D8" s="21">
        <v>624.5</v>
      </c>
      <c r="E8" s="22">
        <f>207.57+492.13-59.2</f>
        <v>640.5</v>
      </c>
      <c r="F8" s="15">
        <v>18.21</v>
      </c>
      <c r="G8" s="4">
        <f>D8-E8-F8+2.8645</f>
        <v>-31.3455</v>
      </c>
      <c r="H8" s="5">
        <f aca="true" t="shared" si="0" ref="H8:H13">G8/6751.8</f>
        <v>-0.0046425397671731984</v>
      </c>
      <c r="J8" s="6"/>
    </row>
    <row r="9" spans="1:10" ht="15">
      <c r="A9" s="2">
        <v>3</v>
      </c>
      <c r="B9" s="3" t="s">
        <v>12</v>
      </c>
      <c r="C9" s="4" t="s">
        <v>35</v>
      </c>
      <c r="D9" s="4">
        <f>56136-55289</f>
        <v>847</v>
      </c>
      <c r="E9" s="13">
        <f>230.86+658.99-65.96</f>
        <v>823.89</v>
      </c>
      <c r="F9" s="15">
        <v>8</v>
      </c>
      <c r="G9" s="4">
        <f>D9-E9-F9+0.0001</f>
        <v>15.110100000000013</v>
      </c>
      <c r="H9" s="5">
        <f t="shared" si="0"/>
        <v>0.0022379365502532677</v>
      </c>
      <c r="J9" s="6"/>
    </row>
    <row r="10" spans="1:8" ht="15">
      <c r="A10" s="2">
        <v>4</v>
      </c>
      <c r="B10" s="3" t="s">
        <v>7</v>
      </c>
      <c r="C10" s="4"/>
      <c r="D10" s="13">
        <f>D8+D9</f>
        <v>1471.5</v>
      </c>
      <c r="E10" s="4">
        <f>334.8+1112.9+74.99+66.86-125.16</f>
        <v>1464.3899999999999</v>
      </c>
      <c r="F10" s="15">
        <f>F8+F9</f>
        <v>26.21</v>
      </c>
      <c r="G10" s="4">
        <v>0</v>
      </c>
      <c r="H10" s="5">
        <f t="shared" si="0"/>
        <v>0</v>
      </c>
    </row>
    <row r="11" spans="1:8" ht="15">
      <c r="A11" s="23">
        <v>5</v>
      </c>
      <c r="B11" s="14" t="s">
        <v>14</v>
      </c>
      <c r="C11" s="4"/>
      <c r="D11" s="5">
        <f>28909</f>
        <v>28909</v>
      </c>
      <c r="E11" s="4">
        <f>17001.3-119</f>
        <v>16882.3</v>
      </c>
      <c r="F11" s="4">
        <v>128</v>
      </c>
      <c r="G11" s="4">
        <f>D11-E11-F11-6919.2012</f>
        <v>4979.4988</v>
      </c>
      <c r="H11" s="5">
        <f t="shared" si="0"/>
        <v>0.7375068574306112</v>
      </c>
    </row>
    <row r="12" spans="1:8" ht="15">
      <c r="A12" s="31"/>
      <c r="B12" s="14" t="s">
        <v>15</v>
      </c>
      <c r="C12" s="4"/>
      <c r="D12" s="5">
        <v>29364</v>
      </c>
      <c r="E12" s="4">
        <v>7763.9</v>
      </c>
      <c r="F12" s="4">
        <v>264</v>
      </c>
      <c r="G12" s="4">
        <f>D12-E12-F12-21336.1</f>
        <v>0</v>
      </c>
      <c r="H12" s="5">
        <f t="shared" si="0"/>
        <v>0</v>
      </c>
    </row>
    <row r="13" spans="1:8" ht="15">
      <c r="A13" s="25"/>
      <c r="B13" s="12" t="s">
        <v>8</v>
      </c>
      <c r="C13" s="12"/>
      <c r="D13" s="13">
        <f>SUM(D11:D12)</f>
        <v>58273</v>
      </c>
      <c r="E13" s="13">
        <f>SUM(E11:E12)</f>
        <v>24646.199999999997</v>
      </c>
      <c r="F13" s="13">
        <f>SUM(F11:F12)</f>
        <v>392</v>
      </c>
      <c r="G13" s="13">
        <f>SUM(G11:G12)</f>
        <v>4979.4988</v>
      </c>
      <c r="H13" s="5">
        <f t="shared" si="0"/>
        <v>0.7375068574306112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7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7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2">
      <pane xSplit="3" ySplit="10" topLeftCell="D12" activePane="bottomRight" state="frozen"/>
      <selection pane="topLeft" activeCell="A2" sqref="A2"/>
      <selection pane="topRight" activeCell="E2" sqref="E2"/>
      <selection pane="bottomLeft" activeCell="A12" sqref="A12"/>
      <selection pane="bottomRight" activeCell="A3" sqref="A3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5.8515625" style="0" customWidth="1"/>
    <col min="7" max="8" width="12.140625" style="0" customWidth="1"/>
    <col min="9" max="9" width="9.57421875" style="0" bestFit="1" customWidth="1"/>
  </cols>
  <sheetData>
    <row r="3" spans="2:3" ht="15.75">
      <c r="B3" s="8" t="s">
        <v>36</v>
      </c>
      <c r="C3" s="8"/>
    </row>
    <row r="4" spans="1:8" ht="15">
      <c r="A4" s="30" t="s">
        <v>9</v>
      </c>
      <c r="B4" s="30"/>
      <c r="C4" s="30"/>
      <c r="D4" s="30"/>
      <c r="E4" s="30"/>
      <c r="F4" s="30"/>
      <c r="G4" s="30"/>
      <c r="H4" s="30"/>
    </row>
    <row r="5" spans="1:8" ht="75.75" customHeight="1">
      <c r="A5" s="26" t="s">
        <v>0</v>
      </c>
      <c r="B5" s="28" t="s">
        <v>1</v>
      </c>
      <c r="C5" s="26" t="s">
        <v>2</v>
      </c>
      <c r="D5" s="26" t="s">
        <v>10</v>
      </c>
      <c r="E5" s="26" t="s">
        <v>11</v>
      </c>
      <c r="F5" s="26" t="s">
        <v>3</v>
      </c>
      <c r="G5" s="26" t="s">
        <v>4</v>
      </c>
      <c r="H5" s="28" t="s">
        <v>5</v>
      </c>
    </row>
    <row r="6" spans="1:8" ht="37.5" customHeight="1">
      <c r="A6" s="27"/>
      <c r="B6" s="29"/>
      <c r="C6" s="27"/>
      <c r="D6" s="27"/>
      <c r="E6" s="27"/>
      <c r="F6" s="27"/>
      <c r="G6" s="27"/>
      <c r="H6" s="29"/>
    </row>
    <row r="7" spans="1:10" ht="15.75">
      <c r="A7" s="9">
        <v>1</v>
      </c>
      <c r="B7" s="10" t="s">
        <v>13</v>
      </c>
      <c r="C7" s="18"/>
      <c r="D7" s="19">
        <f>64.05</f>
        <v>64.05</v>
      </c>
      <c r="E7" s="19">
        <f>22.3372-6.382053+56.3386-0.0006</f>
        <v>72.29314699999999</v>
      </c>
      <c r="F7" s="20">
        <f>1.02+0.2+0.46+0.23</f>
        <v>1.91</v>
      </c>
      <c r="G7" s="4">
        <f>D7-E7-F7+1.0039</f>
        <v>-9.149246999999994</v>
      </c>
      <c r="H7" s="5">
        <f>G7/6751.7</f>
        <v>-0.001355102714871809</v>
      </c>
      <c r="J7" s="6"/>
    </row>
    <row r="8" spans="1:10" ht="15">
      <c r="A8" s="2">
        <v>2</v>
      </c>
      <c r="B8" s="3" t="s">
        <v>6</v>
      </c>
      <c r="C8" s="5"/>
      <c r="D8" s="21">
        <f>614.8</f>
        <v>614.8</v>
      </c>
      <c r="E8" s="22">
        <f>207.57-59.2+524.08</f>
        <v>672.45</v>
      </c>
      <c r="F8" s="15">
        <f>9.44+1.89+4.25+2.12</f>
        <v>17.7</v>
      </c>
      <c r="G8" s="4">
        <f>D8-E8-F8+7.0757</f>
        <v>-68.2743000000001</v>
      </c>
      <c r="H8" s="5">
        <f aca="true" t="shared" si="0" ref="H8:H13">G8/6751.7</f>
        <v>-0.01011216434379491</v>
      </c>
      <c r="J8" s="6"/>
    </row>
    <row r="9" spans="1:10" ht="15">
      <c r="A9" s="2">
        <v>3</v>
      </c>
      <c r="B9" s="3" t="s">
        <v>12</v>
      </c>
      <c r="C9" s="4" t="s">
        <v>37</v>
      </c>
      <c r="D9" s="4">
        <f>57220-56136</f>
        <v>1084</v>
      </c>
      <c r="E9" s="13">
        <f>224.07-64.02+632.84</f>
        <v>792.8900000000001</v>
      </c>
      <c r="F9" s="15">
        <f>4</f>
        <v>4</v>
      </c>
      <c r="G9" s="4">
        <f>26.8893-0.0009</f>
        <v>26.888399999999997</v>
      </c>
      <c r="H9" s="5">
        <f t="shared" si="0"/>
        <v>0.00398246367581498</v>
      </c>
      <c r="J9" s="6"/>
    </row>
    <row r="10" spans="1:8" ht="15">
      <c r="A10" s="2">
        <v>4</v>
      </c>
      <c r="B10" s="3" t="s">
        <v>7</v>
      </c>
      <c r="C10" s="4"/>
      <c r="D10" s="13">
        <f>D8+D9</f>
        <v>1698.8</v>
      </c>
      <c r="E10" s="4">
        <f>334.8-95.58+1117.06+84.93-16+51.77-11.64</f>
        <v>1465.34</v>
      </c>
      <c r="F10" s="15">
        <f>F8+F9</f>
        <v>21.7</v>
      </c>
      <c r="G10" s="4">
        <v>0</v>
      </c>
      <c r="H10" s="5">
        <f t="shared" si="0"/>
        <v>0</v>
      </c>
    </row>
    <row r="11" spans="1:8" ht="15">
      <c r="A11" s="23">
        <v>5</v>
      </c>
      <c r="B11" s="14" t="s">
        <v>14</v>
      </c>
      <c r="C11" s="4"/>
      <c r="D11" s="5">
        <f>28431</f>
        <v>28431</v>
      </c>
      <c r="E11" s="4">
        <f>16775.3-2638-119</f>
        <v>14018.3</v>
      </c>
      <c r="F11" s="4">
        <f>300</f>
        <v>300</v>
      </c>
      <c r="G11" s="4">
        <f>4979.5-0.0004</f>
        <v>4979.4996</v>
      </c>
      <c r="H11" s="5">
        <f t="shared" si="0"/>
        <v>0.7375178991957582</v>
      </c>
    </row>
    <row r="12" spans="1:8" ht="15">
      <c r="A12" s="31"/>
      <c r="B12" s="14" t="s">
        <v>15</v>
      </c>
      <c r="C12" s="4"/>
      <c r="D12" s="5">
        <f>37744</f>
        <v>37744</v>
      </c>
      <c r="E12" s="4">
        <f>8826.9</f>
        <v>8826.9</v>
      </c>
      <c r="F12" s="4">
        <f>525</f>
        <v>525</v>
      </c>
      <c r="G12" s="4">
        <f>0</f>
        <v>0</v>
      </c>
      <c r="H12" s="5">
        <f t="shared" si="0"/>
        <v>0</v>
      </c>
    </row>
    <row r="13" spans="1:8" ht="15">
      <c r="A13" s="25"/>
      <c r="B13" s="12" t="s">
        <v>8</v>
      </c>
      <c r="C13" s="12"/>
      <c r="D13" s="13">
        <f>SUM(D11:D12)</f>
        <v>66175</v>
      </c>
      <c r="E13" s="13">
        <f>SUM(E11:E12)</f>
        <v>22845.199999999997</v>
      </c>
      <c r="F13" s="13">
        <f>SUM(F11:F12)</f>
        <v>825</v>
      </c>
      <c r="G13" s="13">
        <f>SUM(G11:G12)</f>
        <v>4979.4996</v>
      </c>
      <c r="H13" s="5">
        <f t="shared" si="0"/>
        <v>0.7375178991957582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7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7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25"/>
  <sheetViews>
    <sheetView tabSelected="1" workbookViewId="0" topLeftCell="A2">
      <pane xSplit="3" ySplit="10" topLeftCell="D12" activePane="bottomRight" state="frozen"/>
      <selection pane="topLeft" activeCell="A2" sqref="A2"/>
      <selection pane="topRight" activeCell="E2" sqref="E2"/>
      <selection pane="bottomLeft" activeCell="A12" sqref="A12"/>
      <selection pane="bottomRight" activeCell="A3" sqref="A3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5.8515625" style="0" customWidth="1"/>
    <col min="7" max="8" width="12.140625" style="0" customWidth="1"/>
    <col min="9" max="9" width="9.57421875" style="0" bestFit="1" customWidth="1"/>
  </cols>
  <sheetData>
    <row r="3" spans="2:3" ht="15.75">
      <c r="B3" s="8" t="s">
        <v>38</v>
      </c>
      <c r="C3" s="8"/>
    </row>
    <row r="4" spans="1:8" ht="15">
      <c r="A4" s="30" t="s">
        <v>9</v>
      </c>
      <c r="B4" s="30"/>
      <c r="C4" s="30"/>
      <c r="D4" s="30"/>
      <c r="E4" s="30"/>
      <c r="F4" s="30"/>
      <c r="G4" s="30"/>
      <c r="H4" s="30"/>
    </row>
    <row r="5" spans="1:8" ht="75.75" customHeight="1">
      <c r="A5" s="26" t="s">
        <v>0</v>
      </c>
      <c r="B5" s="28" t="s">
        <v>1</v>
      </c>
      <c r="C5" s="26" t="s">
        <v>2</v>
      </c>
      <c r="D5" s="26" t="s">
        <v>10</v>
      </c>
      <c r="E5" s="26" t="s">
        <v>11</v>
      </c>
      <c r="F5" s="26" t="s">
        <v>3</v>
      </c>
      <c r="G5" s="26" t="s">
        <v>4</v>
      </c>
      <c r="H5" s="28" t="s">
        <v>5</v>
      </c>
    </row>
    <row r="6" spans="1:8" ht="37.5" customHeight="1">
      <c r="A6" s="27"/>
      <c r="B6" s="29"/>
      <c r="C6" s="27"/>
      <c r="D6" s="27"/>
      <c r="E6" s="27"/>
      <c r="F6" s="27"/>
      <c r="G6" s="27"/>
      <c r="H6" s="29"/>
    </row>
    <row r="7" spans="1:10" ht="15.75">
      <c r="A7" s="9">
        <v>1</v>
      </c>
      <c r="B7" s="10" t="s">
        <v>13</v>
      </c>
      <c r="C7" s="18"/>
      <c r="D7" s="19">
        <f>66.19</f>
        <v>66.19</v>
      </c>
      <c r="E7" s="19">
        <f>21.8997+38.6807-7.299926-0.0009</f>
        <v>53.279574</v>
      </c>
      <c r="F7" s="20">
        <f>1.06+0.21+0.47+0.24</f>
        <v>1.98</v>
      </c>
      <c r="G7" s="15">
        <f>26.8893*0.104-0.0001</f>
        <v>2.7963871999999994</v>
      </c>
      <c r="H7" s="5">
        <f aca="true" t="shared" si="0" ref="H7:H13">G7/6751.7</f>
        <v>0.0004141752743753424</v>
      </c>
      <c r="J7" s="6"/>
    </row>
    <row r="8" spans="1:10" ht="15">
      <c r="A8" s="2">
        <v>2</v>
      </c>
      <c r="B8" s="3" t="s">
        <v>6</v>
      </c>
      <c r="C8" s="5"/>
      <c r="D8" s="21">
        <f>660.6</f>
        <v>660.6</v>
      </c>
      <c r="E8" s="22">
        <f>210.35+371.93-70</f>
        <v>512.28</v>
      </c>
      <c r="F8" s="4">
        <f>10.15+2.03+4.56+2.28</f>
        <v>19.02</v>
      </c>
      <c r="G8" s="4">
        <f>26.8893-0.0009</f>
        <v>26.888399999999997</v>
      </c>
      <c r="H8" s="5">
        <f t="shared" si="0"/>
        <v>0.00398246367581498</v>
      </c>
      <c r="J8" s="6"/>
    </row>
    <row r="9" spans="1:10" ht="15">
      <c r="A9" s="2">
        <v>3</v>
      </c>
      <c r="B9" s="3" t="s">
        <v>12</v>
      </c>
      <c r="C9" s="4" t="s">
        <v>39</v>
      </c>
      <c r="D9" s="4">
        <f>58104-57220</f>
        <v>884</v>
      </c>
      <c r="E9" s="13">
        <f>232.64+659.02-77.44</f>
        <v>814.22</v>
      </c>
      <c r="F9" s="4">
        <f>10</f>
        <v>10</v>
      </c>
      <c r="G9" s="4">
        <f>26.8893-0.0009</f>
        <v>26.888399999999997</v>
      </c>
      <c r="H9" s="5">
        <f t="shared" si="0"/>
        <v>0.00398246367581498</v>
      </c>
      <c r="J9" s="6"/>
    </row>
    <row r="10" spans="1:8" ht="15">
      <c r="A10" s="2">
        <v>4</v>
      </c>
      <c r="B10" s="3" t="s">
        <v>7</v>
      </c>
      <c r="C10" s="4"/>
      <c r="D10" s="13">
        <f>D8+D9</f>
        <v>1544.6</v>
      </c>
      <c r="E10" s="4">
        <f>358.56+980.93+72.4+62.05-119.34-16-12.1</f>
        <v>1326.5000000000002</v>
      </c>
      <c r="F10" s="15">
        <f>F8+F9</f>
        <v>29.02</v>
      </c>
      <c r="G10" s="4">
        <v>0</v>
      </c>
      <c r="H10" s="5">
        <f t="shared" si="0"/>
        <v>0</v>
      </c>
    </row>
    <row r="11" spans="1:8" ht="15">
      <c r="A11" s="23">
        <v>5</v>
      </c>
      <c r="B11" s="14" t="s">
        <v>14</v>
      </c>
      <c r="C11" s="4"/>
      <c r="D11" s="5">
        <f>27517</f>
        <v>27517</v>
      </c>
      <c r="E11" s="4">
        <f>18743-149</f>
        <v>18594</v>
      </c>
      <c r="F11" s="4">
        <f>225</f>
        <v>225</v>
      </c>
      <c r="G11" s="4">
        <f>4979.5-0.0004</f>
        <v>4979.4996</v>
      </c>
      <c r="H11" s="5">
        <f t="shared" si="0"/>
        <v>0.7375178991957582</v>
      </c>
    </row>
    <row r="12" spans="1:8" ht="15">
      <c r="A12" s="31"/>
      <c r="B12" s="14" t="s">
        <v>15</v>
      </c>
      <c r="C12" s="4"/>
      <c r="D12" s="5">
        <f>27832</f>
        <v>27832</v>
      </c>
      <c r="E12" s="4">
        <f>9610</f>
        <v>9610</v>
      </c>
      <c r="F12" s="4">
        <f>423</f>
        <v>423</v>
      </c>
      <c r="G12" s="4">
        <f>0</f>
        <v>0</v>
      </c>
      <c r="H12" s="5">
        <f t="shared" si="0"/>
        <v>0</v>
      </c>
    </row>
    <row r="13" spans="1:8" ht="15">
      <c r="A13" s="25"/>
      <c r="B13" s="12" t="s">
        <v>8</v>
      </c>
      <c r="C13" s="12"/>
      <c r="D13" s="13">
        <f>SUM(D11:D12)</f>
        <v>55349</v>
      </c>
      <c r="E13" s="13">
        <f>SUM(E11:E12)</f>
        <v>28204</v>
      </c>
      <c r="F13" s="13">
        <f>SUM(F11:F12)</f>
        <v>648</v>
      </c>
      <c r="G13" s="13">
        <f>SUM(G11:G12)</f>
        <v>4979.4996</v>
      </c>
      <c r="H13" s="5">
        <f t="shared" si="0"/>
        <v>0.7375178991957582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7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7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2">
      <pane xSplit="3" ySplit="10" topLeftCell="D12" activePane="bottomRight" state="frozen"/>
      <selection pane="topLeft" activeCell="A2" sqref="A2"/>
      <selection pane="topRight" activeCell="E2" sqref="E2"/>
      <selection pane="bottomLeft" activeCell="A12" sqref="A12"/>
      <selection pane="bottomRight" activeCell="G11" sqref="G11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5.8515625" style="0" customWidth="1"/>
    <col min="7" max="8" width="12.140625" style="0" customWidth="1"/>
    <col min="9" max="9" width="9.57421875" style="0" bestFit="1" customWidth="1"/>
  </cols>
  <sheetData>
    <row r="3" spans="2:3" ht="15.75">
      <c r="B3" s="8" t="s">
        <v>18</v>
      </c>
      <c r="C3" s="8"/>
    </row>
    <row r="4" spans="1:8" ht="15">
      <c r="A4" s="30" t="s">
        <v>9</v>
      </c>
      <c r="B4" s="30"/>
      <c r="C4" s="30"/>
      <c r="D4" s="30"/>
      <c r="E4" s="30"/>
      <c r="F4" s="30"/>
      <c r="G4" s="30"/>
      <c r="H4" s="30"/>
    </row>
    <row r="5" spans="1:8" ht="75.75" customHeight="1">
      <c r="A5" s="26" t="s">
        <v>0</v>
      </c>
      <c r="B5" s="28" t="s">
        <v>1</v>
      </c>
      <c r="C5" s="26" t="s">
        <v>2</v>
      </c>
      <c r="D5" s="26" t="s">
        <v>10</v>
      </c>
      <c r="E5" s="26" t="s">
        <v>11</v>
      </c>
      <c r="F5" s="26" t="s">
        <v>3</v>
      </c>
      <c r="G5" s="26" t="s">
        <v>4</v>
      </c>
      <c r="H5" s="28" t="s">
        <v>5</v>
      </c>
    </row>
    <row r="6" spans="1:8" ht="37.5" customHeight="1">
      <c r="A6" s="27"/>
      <c r="B6" s="29"/>
      <c r="C6" s="27"/>
      <c r="D6" s="27"/>
      <c r="E6" s="27"/>
      <c r="F6" s="27"/>
      <c r="G6" s="27"/>
      <c r="H6" s="29"/>
    </row>
    <row r="7" spans="1:10" ht="15">
      <c r="A7" s="9">
        <v>1</v>
      </c>
      <c r="B7" s="10" t="s">
        <v>13</v>
      </c>
      <c r="C7" s="9"/>
      <c r="D7" s="11">
        <f>66.61</f>
        <v>66.61</v>
      </c>
      <c r="E7" s="11">
        <f>E8*0.0478+0.0012</f>
        <v>31.393693933000005</v>
      </c>
      <c r="F7" s="11">
        <f>1.07+0.21+0.48+0.24</f>
        <v>2</v>
      </c>
      <c r="G7" s="15">
        <f>G8*0.0478+0.0001</f>
        <v>1.28538942</v>
      </c>
      <c r="H7" s="5">
        <f aca="true" t="shared" si="0" ref="H7:H13">G7/6753.3</f>
        <v>0.00019033500955088623</v>
      </c>
      <c r="J7" s="6"/>
    </row>
    <row r="8" spans="1:10" ht="15">
      <c r="A8" s="2">
        <v>2</v>
      </c>
      <c r="B8" s="3" t="s">
        <v>6</v>
      </c>
      <c r="C8" s="5"/>
      <c r="D8" s="5">
        <f>719.4</f>
        <v>719.4</v>
      </c>
      <c r="E8" s="15">
        <f>242.1348-69.058065+463.6+20.07</f>
        <v>656.7467350000001</v>
      </c>
      <c r="F8" s="15">
        <f>11.09+2.22+4.99+2.5</f>
        <v>20.8</v>
      </c>
      <c r="G8" s="15">
        <f>26.8893-0.0004</f>
        <v>26.8889</v>
      </c>
      <c r="H8" s="5">
        <f t="shared" si="0"/>
        <v>0.003981594183584322</v>
      </c>
      <c r="J8" s="6"/>
    </row>
    <row r="9" spans="1:10" ht="15">
      <c r="A9" s="2">
        <v>3</v>
      </c>
      <c r="B9" s="3" t="s">
        <v>12</v>
      </c>
      <c r="C9" s="4" t="s">
        <v>19</v>
      </c>
      <c r="D9" s="4">
        <f>48945-48019</f>
        <v>926</v>
      </c>
      <c r="E9" s="15">
        <f>237.65-67.9+682.5+14.38</f>
        <v>866.63</v>
      </c>
      <c r="F9" s="15">
        <f>10</f>
        <v>10</v>
      </c>
      <c r="G9" s="15">
        <f>26.8893-0.0004</f>
        <v>26.8889</v>
      </c>
      <c r="H9" s="5">
        <f t="shared" si="0"/>
        <v>0.003981594183584322</v>
      </c>
      <c r="J9" s="6"/>
    </row>
    <row r="10" spans="1:8" ht="15">
      <c r="A10" s="2">
        <v>4</v>
      </c>
      <c r="B10" s="3" t="s">
        <v>7</v>
      </c>
      <c r="C10" s="4"/>
      <c r="D10" s="4">
        <f>D8+D9</f>
        <v>1645.4</v>
      </c>
      <c r="E10" s="15">
        <f>239.22+989.31+86.41+122.3768+7.76+62.98+15.32</f>
        <v>1523.3768</v>
      </c>
      <c r="F10" s="15">
        <f>F8+F9</f>
        <v>30.8</v>
      </c>
      <c r="G10" s="15">
        <v>0</v>
      </c>
      <c r="H10" s="5">
        <f t="shared" si="0"/>
        <v>0</v>
      </c>
    </row>
    <row r="11" spans="1:8" ht="15">
      <c r="A11" s="23">
        <v>5</v>
      </c>
      <c r="B11" s="14" t="s">
        <v>14</v>
      </c>
      <c r="C11" s="4"/>
      <c r="D11" s="5">
        <f>32161</f>
        <v>32161</v>
      </c>
      <c r="E11" s="15">
        <f>12656</f>
        <v>12656</v>
      </c>
      <c r="F11" s="17">
        <f>0</f>
        <v>0</v>
      </c>
      <c r="G11" s="15">
        <f>4979.5+0.0003</f>
        <v>4979.5003</v>
      </c>
      <c r="H11" s="5">
        <f t="shared" si="0"/>
        <v>0.7373432692165311</v>
      </c>
    </row>
    <row r="12" spans="1:8" ht="15">
      <c r="A12" s="24"/>
      <c r="B12" s="14" t="s">
        <v>15</v>
      </c>
      <c r="C12" s="4"/>
      <c r="D12" s="5">
        <f>34716</f>
        <v>34716</v>
      </c>
      <c r="E12" s="15">
        <f>11153</f>
        <v>11153</v>
      </c>
      <c r="F12" s="17">
        <f>564</f>
        <v>564</v>
      </c>
      <c r="G12" s="15">
        <v>0</v>
      </c>
      <c r="H12" s="5">
        <f t="shared" si="0"/>
        <v>0</v>
      </c>
    </row>
    <row r="13" spans="1:8" ht="15">
      <c r="A13" s="25"/>
      <c r="B13" s="12" t="s">
        <v>8</v>
      </c>
      <c r="C13" s="12"/>
      <c r="D13" s="13">
        <f>SUM(D11:D12)</f>
        <v>66877</v>
      </c>
      <c r="E13" s="16">
        <f>SUM(E11:E12)</f>
        <v>23809</v>
      </c>
      <c r="F13" s="16">
        <f>SUM(F11:F12)</f>
        <v>564</v>
      </c>
      <c r="G13" s="16">
        <f>SUM(G11:G12)</f>
        <v>4979.5003</v>
      </c>
      <c r="H13" s="5">
        <f t="shared" si="0"/>
        <v>0.7373432692165311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7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7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2">
      <pane xSplit="3" ySplit="10" topLeftCell="D12" activePane="bottomRight" state="frozen"/>
      <selection pane="topLeft" activeCell="A2" sqref="A2"/>
      <selection pane="topRight" activeCell="E2" sqref="E2"/>
      <selection pane="bottomLeft" activeCell="A12" sqref="A12"/>
      <selection pane="bottomRight" activeCell="A3" sqref="A3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5.8515625" style="0" customWidth="1"/>
    <col min="7" max="8" width="12.140625" style="0" customWidth="1"/>
    <col min="9" max="9" width="9.57421875" style="0" bestFit="1" customWidth="1"/>
  </cols>
  <sheetData>
    <row r="3" spans="2:3" ht="15.75">
      <c r="B3" s="8" t="s">
        <v>20</v>
      </c>
      <c r="C3" s="8"/>
    </row>
    <row r="4" spans="1:8" ht="15">
      <c r="A4" s="30" t="s">
        <v>9</v>
      </c>
      <c r="B4" s="30"/>
      <c r="C4" s="30"/>
      <c r="D4" s="30"/>
      <c r="E4" s="30"/>
      <c r="F4" s="30"/>
      <c r="G4" s="30"/>
      <c r="H4" s="30"/>
    </row>
    <row r="5" spans="1:8" ht="75.75" customHeight="1">
      <c r="A5" s="26" t="s">
        <v>0</v>
      </c>
      <c r="B5" s="28" t="s">
        <v>1</v>
      </c>
      <c r="C5" s="26" t="s">
        <v>2</v>
      </c>
      <c r="D5" s="26" t="s">
        <v>10</v>
      </c>
      <c r="E5" s="26" t="s">
        <v>11</v>
      </c>
      <c r="F5" s="26" t="s">
        <v>3</v>
      </c>
      <c r="G5" s="26" t="s">
        <v>4</v>
      </c>
      <c r="H5" s="28" t="s">
        <v>5</v>
      </c>
    </row>
    <row r="6" spans="1:8" ht="37.5" customHeight="1">
      <c r="A6" s="27"/>
      <c r="B6" s="29"/>
      <c r="C6" s="27"/>
      <c r="D6" s="27"/>
      <c r="E6" s="27"/>
      <c r="F6" s="27"/>
      <c r="G6" s="27"/>
      <c r="H6" s="29"/>
    </row>
    <row r="7" spans="1:10" ht="15">
      <c r="A7" s="9">
        <v>1</v>
      </c>
      <c r="B7" s="10" t="s">
        <v>13</v>
      </c>
      <c r="C7" s="9"/>
      <c r="D7" s="11">
        <f>71.15</f>
        <v>71.15</v>
      </c>
      <c r="E7" s="11">
        <f>E8*0.0478+0.0012</f>
        <v>32.924884000000006</v>
      </c>
      <c r="F7" s="11">
        <f>1.16+0.23+0.52+0.26</f>
        <v>2.17</v>
      </c>
      <c r="G7" s="15">
        <f>26.8893*0.0478+0.0001</f>
        <v>1.28540854</v>
      </c>
      <c r="H7" s="5">
        <f aca="true" t="shared" si="0" ref="H7:H13">G7/6753.3</f>
        <v>0.00019033784075933247</v>
      </c>
      <c r="J7" s="6"/>
    </row>
    <row r="8" spans="1:10" ht="15">
      <c r="A8" s="2">
        <v>2</v>
      </c>
      <c r="B8" s="3" t="s">
        <v>6</v>
      </c>
      <c r="C8" s="5"/>
      <c r="D8" s="5">
        <f>756.1</f>
        <v>756.1</v>
      </c>
      <c r="E8" s="15">
        <f>230.01-65.6+485.91+38.46</f>
        <v>688.7800000000001</v>
      </c>
      <c r="F8" s="15">
        <f>22.24</f>
        <v>22.24</v>
      </c>
      <c r="G8" s="15">
        <f>26.8893-0.0004</f>
        <v>26.8889</v>
      </c>
      <c r="H8" s="5">
        <f t="shared" si="0"/>
        <v>0.003981594183584322</v>
      </c>
      <c r="J8" s="6"/>
    </row>
    <row r="9" spans="1:10" ht="15">
      <c r="A9" s="2">
        <v>3</v>
      </c>
      <c r="B9" s="3" t="s">
        <v>12</v>
      </c>
      <c r="C9" s="4" t="s">
        <v>21</v>
      </c>
      <c r="D9" s="4">
        <f>50013-48945</f>
        <v>1068</v>
      </c>
      <c r="E9" s="15">
        <f>224.07-64.02+686.27+36.73</f>
        <v>883.05</v>
      </c>
      <c r="F9" s="15">
        <f>7</f>
        <v>7</v>
      </c>
      <c r="G9" s="15">
        <f>26.8893-0.0004</f>
        <v>26.8889</v>
      </c>
      <c r="H9" s="5">
        <f t="shared" si="0"/>
        <v>0.003981594183584322</v>
      </c>
      <c r="J9" s="6"/>
    </row>
    <row r="10" spans="1:8" ht="15">
      <c r="A10" s="2">
        <v>4</v>
      </c>
      <c r="B10" s="3" t="s">
        <v>7</v>
      </c>
      <c r="C10" s="4"/>
      <c r="D10" s="4">
        <f>D8+D9</f>
        <v>1824.1</v>
      </c>
      <c r="E10" s="15">
        <f>221.5+998.13+128.75+133.14+11.34+63.18+15.79</f>
        <v>1571.83</v>
      </c>
      <c r="F10" s="15">
        <f>F8+F9</f>
        <v>29.24</v>
      </c>
      <c r="G10" s="15">
        <v>0</v>
      </c>
      <c r="H10" s="5">
        <f t="shared" si="0"/>
        <v>0</v>
      </c>
    </row>
    <row r="11" spans="1:8" ht="15">
      <c r="A11" s="23">
        <v>5</v>
      </c>
      <c r="B11" s="14" t="s">
        <v>14</v>
      </c>
      <c r="C11" s="4"/>
      <c r="D11" s="5">
        <f>24708</f>
        <v>24708</v>
      </c>
      <c r="E11" s="15">
        <f>12894</f>
        <v>12894</v>
      </c>
      <c r="F11" s="17">
        <f>22</f>
        <v>22</v>
      </c>
      <c r="G11" s="15">
        <f>4979.5+0.0003</f>
        <v>4979.5003</v>
      </c>
      <c r="H11" s="5">
        <f t="shared" si="0"/>
        <v>0.7373432692165311</v>
      </c>
    </row>
    <row r="12" spans="1:8" ht="15">
      <c r="A12" s="24"/>
      <c r="B12" s="14" t="s">
        <v>15</v>
      </c>
      <c r="C12" s="4"/>
      <c r="D12" s="5">
        <f>34562</f>
        <v>34562</v>
      </c>
      <c r="E12" s="15">
        <f>9971</f>
        <v>9971</v>
      </c>
      <c r="F12" s="17">
        <f>210</f>
        <v>210</v>
      </c>
      <c r="G12" s="15">
        <v>0</v>
      </c>
      <c r="H12" s="5">
        <f t="shared" si="0"/>
        <v>0</v>
      </c>
    </row>
    <row r="13" spans="1:8" ht="15">
      <c r="A13" s="25"/>
      <c r="B13" s="12" t="s">
        <v>8</v>
      </c>
      <c r="C13" s="12"/>
      <c r="D13" s="13">
        <f>SUM(D11:D12)</f>
        <v>59270</v>
      </c>
      <c r="E13" s="16">
        <f>SUM(E11:E12)</f>
        <v>22865</v>
      </c>
      <c r="F13" s="16">
        <f>SUM(F11:F12)</f>
        <v>232</v>
      </c>
      <c r="G13" s="16">
        <f>SUM(G11:G12)</f>
        <v>4979.5003</v>
      </c>
      <c r="H13" s="5">
        <f t="shared" si="0"/>
        <v>0.7373432692165311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7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7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2">
      <pane xSplit="3" ySplit="10" topLeftCell="D12" activePane="bottomRight" state="frozen"/>
      <selection pane="topLeft" activeCell="A2" sqref="A2"/>
      <selection pane="topRight" activeCell="E2" sqref="E2"/>
      <selection pane="bottomLeft" activeCell="A12" sqref="A12"/>
      <selection pane="bottomRight" activeCell="A3" sqref="A3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5.8515625" style="0" customWidth="1"/>
    <col min="7" max="8" width="12.140625" style="0" customWidth="1"/>
    <col min="9" max="9" width="9.57421875" style="0" bestFit="1" customWidth="1"/>
  </cols>
  <sheetData>
    <row r="3" spans="2:3" ht="15.75">
      <c r="B3" s="8" t="s">
        <v>22</v>
      </c>
      <c r="C3" s="8"/>
    </row>
    <row r="4" spans="1:8" ht="15">
      <c r="A4" s="30" t="s">
        <v>9</v>
      </c>
      <c r="B4" s="30"/>
      <c r="C4" s="30"/>
      <c r="D4" s="30"/>
      <c r="E4" s="30"/>
      <c r="F4" s="30"/>
      <c r="G4" s="30"/>
      <c r="H4" s="30"/>
    </row>
    <row r="5" spans="1:8" ht="75.75" customHeight="1">
      <c r="A5" s="26" t="s">
        <v>0</v>
      </c>
      <c r="B5" s="28" t="s">
        <v>1</v>
      </c>
      <c r="C5" s="26" t="s">
        <v>2</v>
      </c>
      <c r="D5" s="26" t="s">
        <v>10</v>
      </c>
      <c r="E5" s="26" t="s">
        <v>11</v>
      </c>
      <c r="F5" s="26" t="s">
        <v>3</v>
      </c>
      <c r="G5" s="26" t="s">
        <v>4</v>
      </c>
      <c r="H5" s="28" t="s">
        <v>5</v>
      </c>
    </row>
    <row r="6" spans="1:8" ht="37.5" customHeight="1">
      <c r="A6" s="27"/>
      <c r="B6" s="29"/>
      <c r="C6" s="27"/>
      <c r="D6" s="27"/>
      <c r="E6" s="27"/>
      <c r="F6" s="27"/>
      <c r="G6" s="27"/>
      <c r="H6" s="29"/>
    </row>
    <row r="7" spans="1:10" ht="15">
      <c r="A7" s="9">
        <v>1</v>
      </c>
      <c r="B7" s="10" t="s">
        <v>13</v>
      </c>
      <c r="C7" s="9"/>
      <c r="D7" s="11">
        <f>67.01</f>
        <v>67.01</v>
      </c>
      <c r="E7" s="11">
        <f>E8*0.0478+0.001174</f>
        <v>32.483029933000005</v>
      </c>
      <c r="F7" s="11">
        <f>1.07+0.21+0.48+0.24</f>
        <v>2</v>
      </c>
      <c r="G7" s="15">
        <f>G8*0.0478+0.0001</f>
        <v>1.28538942</v>
      </c>
      <c r="H7" s="5">
        <f aca="true" t="shared" si="0" ref="H7:H13">G7/6753.3</f>
        <v>0.00019033500955088623</v>
      </c>
      <c r="J7" s="6"/>
    </row>
    <row r="8" spans="1:10" ht="15">
      <c r="A8" s="2">
        <v>2</v>
      </c>
      <c r="B8" s="3" t="s">
        <v>6</v>
      </c>
      <c r="C8" s="5"/>
      <c r="D8" s="5">
        <f>751.9</f>
        <v>751.9</v>
      </c>
      <c r="E8" s="15">
        <f>225.3048-64.258065+500.39+18.1</f>
        <v>679.536735</v>
      </c>
      <c r="F8" s="15">
        <f>11.8+2.36+5.31+2.65</f>
        <v>22.119999999999997</v>
      </c>
      <c r="G8" s="15">
        <f>26.8893-0.0004</f>
        <v>26.8889</v>
      </c>
      <c r="H8" s="5">
        <f t="shared" si="0"/>
        <v>0.003981594183584322</v>
      </c>
      <c r="J8" s="6"/>
    </row>
    <row r="9" spans="1:10" ht="15">
      <c r="A9" s="2">
        <v>3</v>
      </c>
      <c r="B9" s="3" t="s">
        <v>12</v>
      </c>
      <c r="C9" s="4" t="s">
        <v>23</v>
      </c>
      <c r="D9" s="4">
        <f>50916-50013</f>
        <v>903</v>
      </c>
      <c r="E9" s="15">
        <f>225.6032-64.458065+687.43+11.2</f>
        <v>859.775135</v>
      </c>
      <c r="F9" s="15">
        <f>8</f>
        <v>8</v>
      </c>
      <c r="G9" s="15">
        <f>26.8893-0.0004</f>
        <v>26.8889</v>
      </c>
      <c r="H9" s="5">
        <f t="shared" si="0"/>
        <v>0.003981594183584322</v>
      </c>
      <c r="J9" s="6"/>
    </row>
    <row r="10" spans="1:8" ht="15">
      <c r="A10" s="2">
        <v>4</v>
      </c>
      <c r="B10" s="3" t="s">
        <v>7</v>
      </c>
      <c r="C10" s="4"/>
      <c r="D10" s="4">
        <f>D8+D9</f>
        <v>1654.9</v>
      </c>
      <c r="E10" s="15">
        <f>230.36+1031.55+76.22+119.9868+7.76+58.3852+15.05</f>
        <v>1539.3119999999997</v>
      </c>
      <c r="F10" s="15">
        <f>F8+F9</f>
        <v>30.119999999999997</v>
      </c>
      <c r="G10" s="15">
        <v>0</v>
      </c>
      <c r="H10" s="5">
        <f t="shared" si="0"/>
        <v>0</v>
      </c>
    </row>
    <row r="11" spans="1:8" ht="15">
      <c r="A11" s="23">
        <v>5</v>
      </c>
      <c r="B11" s="14" t="s">
        <v>14</v>
      </c>
      <c r="C11" s="4"/>
      <c r="D11" s="5">
        <f>27450</f>
        <v>27450</v>
      </c>
      <c r="E11" s="15">
        <f>13064</f>
        <v>13064</v>
      </c>
      <c r="F11" s="17">
        <f>50</f>
        <v>50</v>
      </c>
      <c r="G11" s="15">
        <f>D11-E11-F11-9356.5+0.0003</f>
        <v>4979.5003</v>
      </c>
      <c r="H11" s="5">
        <f t="shared" si="0"/>
        <v>0.7373432692165311</v>
      </c>
    </row>
    <row r="12" spans="1:8" ht="15">
      <c r="A12" s="24"/>
      <c r="B12" s="14" t="s">
        <v>15</v>
      </c>
      <c r="C12" s="4"/>
      <c r="D12" s="5">
        <f>33421</f>
        <v>33421</v>
      </c>
      <c r="E12" s="15">
        <f>11731</f>
        <v>11731</v>
      </c>
      <c r="F12" s="17">
        <f>175</f>
        <v>175</v>
      </c>
      <c r="G12" s="15">
        <f>D12-E12-F12-21515</f>
        <v>0</v>
      </c>
      <c r="H12" s="5">
        <f t="shared" si="0"/>
        <v>0</v>
      </c>
    </row>
    <row r="13" spans="1:8" ht="15">
      <c r="A13" s="25"/>
      <c r="B13" s="12" t="s">
        <v>8</v>
      </c>
      <c r="C13" s="12"/>
      <c r="D13" s="13">
        <f>SUM(D11:D12)</f>
        <v>60871</v>
      </c>
      <c r="E13" s="16">
        <f>SUM(E11:E12)</f>
        <v>24795</v>
      </c>
      <c r="F13" s="16">
        <f>SUM(F11:F12)</f>
        <v>225</v>
      </c>
      <c r="G13" s="16">
        <f>SUM(G11:G12)</f>
        <v>4979.5003</v>
      </c>
      <c r="H13" s="5">
        <f t="shared" si="0"/>
        <v>0.7373432692165311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7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7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2">
      <pane xSplit="3" ySplit="10" topLeftCell="D12" activePane="bottomRight" state="frozen"/>
      <selection pane="topLeft" activeCell="A2" sqref="A2"/>
      <selection pane="topRight" activeCell="E2" sqref="E2"/>
      <selection pane="bottomLeft" activeCell="A12" sqref="A12"/>
      <selection pane="bottomRight" activeCell="G7" sqref="G7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5.8515625" style="0" customWidth="1"/>
    <col min="7" max="8" width="12.140625" style="0" customWidth="1"/>
    <col min="9" max="9" width="9.57421875" style="0" bestFit="1" customWidth="1"/>
  </cols>
  <sheetData>
    <row r="3" spans="2:3" ht="15.75">
      <c r="B3" s="8" t="s">
        <v>24</v>
      </c>
      <c r="C3" s="8"/>
    </row>
    <row r="4" spans="1:8" ht="15">
      <c r="A4" s="30" t="s">
        <v>9</v>
      </c>
      <c r="B4" s="30"/>
      <c r="C4" s="30"/>
      <c r="D4" s="30"/>
      <c r="E4" s="30"/>
      <c r="F4" s="30"/>
      <c r="G4" s="30"/>
      <c r="H4" s="30"/>
    </row>
    <row r="5" spans="1:8" ht="75.75" customHeight="1">
      <c r="A5" s="26" t="s">
        <v>0</v>
      </c>
      <c r="B5" s="28" t="s">
        <v>1</v>
      </c>
      <c r="C5" s="26" t="s">
        <v>2</v>
      </c>
      <c r="D5" s="26" t="s">
        <v>10</v>
      </c>
      <c r="E5" s="26" t="s">
        <v>11</v>
      </c>
      <c r="F5" s="26" t="s">
        <v>3</v>
      </c>
      <c r="G5" s="26" t="s">
        <v>4</v>
      </c>
      <c r="H5" s="28" t="s">
        <v>5</v>
      </c>
    </row>
    <row r="6" spans="1:8" ht="37.5" customHeight="1">
      <c r="A6" s="27"/>
      <c r="B6" s="29"/>
      <c r="C6" s="27"/>
      <c r="D6" s="27"/>
      <c r="E6" s="27"/>
      <c r="F6" s="27"/>
      <c r="G6" s="27"/>
      <c r="H6" s="29"/>
    </row>
    <row r="7" spans="1:10" ht="15">
      <c r="A7" s="9">
        <v>1</v>
      </c>
      <c r="B7" s="10" t="s">
        <v>13</v>
      </c>
      <c r="C7" s="9"/>
      <c r="D7" s="11">
        <f>51.14</f>
        <v>51.14</v>
      </c>
      <c r="E7" s="11">
        <f>15.9023-4.543499+38.9585+1.5057+0.0005</f>
        <v>51.823501</v>
      </c>
      <c r="F7" s="11">
        <f>0.74+0.15+0.33+0.17</f>
        <v>1.39</v>
      </c>
      <c r="G7" s="15">
        <f>D7-E7-F7+0.1142</f>
        <v>-1.9593009999999993</v>
      </c>
      <c r="H7" s="5">
        <f aca="true" t="shared" si="0" ref="H7:H13">G7/6753.3</f>
        <v>-0.0002901249759376896</v>
      </c>
      <c r="J7" s="6"/>
    </row>
    <row r="8" spans="1:10" ht="15">
      <c r="A8" s="2">
        <v>2</v>
      </c>
      <c r="B8" s="3" t="s">
        <v>6</v>
      </c>
      <c r="C8" s="5"/>
      <c r="D8" s="5">
        <f>637.4</f>
        <v>637.4</v>
      </c>
      <c r="E8" s="15">
        <f>218.79-62.4+536.618+20.74</f>
        <v>713.748</v>
      </c>
      <c r="F8" s="15">
        <f>10.17+2.03+4.58+2.29</f>
        <v>19.07</v>
      </c>
      <c r="G8" s="15">
        <f>D8-E8-F8+6.8853</f>
        <v>-88.53270000000006</v>
      </c>
      <c r="H8" s="5">
        <f t="shared" si="0"/>
        <v>-0.01310954644396074</v>
      </c>
      <c r="J8" s="6"/>
    </row>
    <row r="9" spans="1:10" ht="15">
      <c r="A9" s="2">
        <v>3</v>
      </c>
      <c r="B9" s="3" t="s">
        <v>12</v>
      </c>
      <c r="C9" s="4" t="s">
        <v>25</v>
      </c>
      <c r="D9" s="4">
        <f>51956-50916</f>
        <v>1040</v>
      </c>
      <c r="E9" s="15">
        <f>217.28-62.08+574.69+14.43</f>
        <v>744.32</v>
      </c>
      <c r="F9" s="15">
        <f>7</f>
        <v>7</v>
      </c>
      <c r="G9" s="15">
        <f>26.8893-0.0004</f>
        <v>26.8889</v>
      </c>
      <c r="H9" s="5">
        <f t="shared" si="0"/>
        <v>0.003981594183584322</v>
      </c>
      <c r="J9" s="6"/>
    </row>
    <row r="10" spans="1:8" ht="15">
      <c r="A10" s="2">
        <v>4</v>
      </c>
      <c r="B10" s="3" t="s">
        <v>7</v>
      </c>
      <c r="C10" s="4"/>
      <c r="D10" s="4">
        <f>D8+D9</f>
        <v>1677.4</v>
      </c>
      <c r="E10" s="15">
        <f>230.36+1067.47+95.51-2.68+59.408+8</f>
        <v>1458.0679999999998</v>
      </c>
      <c r="F10" s="15">
        <f>F8+F9</f>
        <v>26.07</v>
      </c>
      <c r="G10" s="15">
        <v>0</v>
      </c>
      <c r="H10" s="5">
        <f t="shared" si="0"/>
        <v>0</v>
      </c>
    </row>
    <row r="11" spans="1:8" ht="15">
      <c r="A11" s="23">
        <v>5</v>
      </c>
      <c r="B11" s="14" t="s">
        <v>14</v>
      </c>
      <c r="C11" s="4"/>
      <c r="D11" s="5">
        <f>21105</f>
        <v>21105</v>
      </c>
      <c r="E11" s="15">
        <f>10146.8</f>
        <v>10146.8</v>
      </c>
      <c r="F11" s="17">
        <f>13</f>
        <v>13</v>
      </c>
      <c r="G11" s="15">
        <f>4979.5+0.0003</f>
        <v>4979.5003</v>
      </c>
      <c r="H11" s="5">
        <f t="shared" si="0"/>
        <v>0.7373432692165311</v>
      </c>
    </row>
    <row r="12" spans="1:8" ht="15">
      <c r="A12" s="24"/>
      <c r="B12" s="14" t="s">
        <v>15</v>
      </c>
      <c r="C12" s="4"/>
      <c r="D12" s="5">
        <f>25121</f>
        <v>25121</v>
      </c>
      <c r="E12" s="15">
        <f>8336.9</f>
        <v>8336.9</v>
      </c>
      <c r="F12" s="17">
        <f>84</f>
        <v>84</v>
      </c>
      <c r="G12" s="15">
        <v>0</v>
      </c>
      <c r="H12" s="5">
        <f t="shared" si="0"/>
        <v>0</v>
      </c>
    </row>
    <row r="13" spans="1:8" ht="15">
      <c r="A13" s="25"/>
      <c r="B13" s="12" t="s">
        <v>8</v>
      </c>
      <c r="C13" s="12"/>
      <c r="D13" s="13">
        <f>SUM(D11:D12)</f>
        <v>46226</v>
      </c>
      <c r="E13" s="16">
        <f>SUM(E11:E12)</f>
        <v>18483.699999999997</v>
      </c>
      <c r="F13" s="16">
        <f>SUM(F11:F12)</f>
        <v>97</v>
      </c>
      <c r="G13" s="16">
        <f>SUM(G11:G12)</f>
        <v>4979.5003</v>
      </c>
      <c r="H13" s="5">
        <f t="shared" si="0"/>
        <v>0.7373432692165311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7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7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2">
      <pane xSplit="3" ySplit="10" topLeftCell="D12" activePane="bottomRight" state="frozen"/>
      <selection pane="topLeft" activeCell="A2" sqref="A2"/>
      <selection pane="topRight" activeCell="E2" sqref="E2"/>
      <selection pane="bottomLeft" activeCell="A12" sqref="A12"/>
      <selection pane="bottomRight" activeCell="B7" sqref="B7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5.8515625" style="0" customWidth="1"/>
    <col min="7" max="8" width="12.140625" style="0" customWidth="1"/>
    <col min="9" max="9" width="9.57421875" style="0" bestFit="1" customWidth="1"/>
  </cols>
  <sheetData>
    <row r="3" spans="2:3" ht="15.75">
      <c r="B3" s="8" t="s">
        <v>26</v>
      </c>
      <c r="C3" s="8"/>
    </row>
    <row r="4" spans="1:8" ht="15">
      <c r="A4" s="30" t="s">
        <v>9</v>
      </c>
      <c r="B4" s="30"/>
      <c r="C4" s="30"/>
      <c r="D4" s="30"/>
      <c r="E4" s="30"/>
      <c r="F4" s="30"/>
      <c r="G4" s="30"/>
      <c r="H4" s="30"/>
    </row>
    <row r="5" spans="1:8" ht="75.75" customHeight="1">
      <c r="A5" s="26" t="s">
        <v>0</v>
      </c>
      <c r="B5" s="28" t="s">
        <v>1</v>
      </c>
      <c r="C5" s="26" t="s">
        <v>2</v>
      </c>
      <c r="D5" s="26" t="s">
        <v>10</v>
      </c>
      <c r="E5" s="26" t="s">
        <v>11</v>
      </c>
      <c r="F5" s="26" t="s">
        <v>3</v>
      </c>
      <c r="G5" s="26" t="s">
        <v>4</v>
      </c>
      <c r="H5" s="28" t="s">
        <v>5</v>
      </c>
    </row>
    <row r="6" spans="1:8" ht="37.5" customHeight="1">
      <c r="A6" s="27"/>
      <c r="B6" s="29"/>
      <c r="C6" s="27"/>
      <c r="D6" s="27"/>
      <c r="E6" s="27"/>
      <c r="F6" s="27"/>
      <c r="G6" s="27"/>
      <c r="H6" s="29"/>
    </row>
    <row r="7" spans="1:10" ht="15">
      <c r="A7" s="9">
        <v>1</v>
      </c>
      <c r="B7" s="10" t="s">
        <v>13</v>
      </c>
      <c r="C7" s="9"/>
      <c r="D7" s="11">
        <f>39.43</f>
        <v>39.43</v>
      </c>
      <c r="E7" s="11">
        <f>11.4165-3.805494+26.8375+1.4377+0.0002</f>
        <v>35.886405999999994</v>
      </c>
      <c r="F7" s="11">
        <f>0.5+0.1+0.22+0.11</f>
        <v>0.9299999999999999</v>
      </c>
      <c r="G7" s="15">
        <f>26.8893*0.0527-0.0004</f>
        <v>1.41666611</v>
      </c>
      <c r="H7" s="5">
        <f aca="true" t="shared" si="0" ref="H7:H13">G7/6753.3</f>
        <v>0.00020977390460959826</v>
      </c>
      <c r="J7" s="6"/>
    </row>
    <row r="8" spans="1:10" ht="15">
      <c r="A8" s="2">
        <v>2</v>
      </c>
      <c r="B8" s="3" t="s">
        <v>6</v>
      </c>
      <c r="C8" s="5"/>
      <c r="D8" s="5">
        <f>596.3</f>
        <v>596.3</v>
      </c>
      <c r="E8" s="15">
        <f>216.36-72+509.25+27.28</f>
        <v>680.89</v>
      </c>
      <c r="F8" s="15">
        <f>9.39+1.88+4.23+2.11</f>
        <v>17.61</v>
      </c>
      <c r="G8" s="15">
        <f>D8-E8-F8+10.2956</f>
        <v>-91.90440000000004</v>
      </c>
      <c r="H8" s="5">
        <f t="shared" si="0"/>
        <v>-0.013608813468970731</v>
      </c>
      <c r="J8" s="6"/>
    </row>
    <row r="9" spans="1:10" ht="15">
      <c r="A9" s="2">
        <v>3</v>
      </c>
      <c r="B9" s="3" t="s">
        <v>12</v>
      </c>
      <c r="C9" s="4" t="s">
        <v>27</v>
      </c>
      <c r="D9" s="4">
        <f>793</f>
        <v>793</v>
      </c>
      <c r="E9" s="15">
        <f>210.83-70.18+608.11+17.81</f>
        <v>766.5699999999999</v>
      </c>
      <c r="F9" s="15">
        <f>9</f>
        <v>9</v>
      </c>
      <c r="G9" s="15">
        <f>D9-E9-F9+0.0001</f>
        <v>17.430100000000063</v>
      </c>
      <c r="H9" s="5">
        <f t="shared" si="0"/>
        <v>0.0025809752269261048</v>
      </c>
      <c r="J9" s="6"/>
    </row>
    <row r="10" spans="1:8" ht="15">
      <c r="A10" s="2">
        <v>4</v>
      </c>
      <c r="B10" s="3" t="s">
        <v>7</v>
      </c>
      <c r="C10" s="4"/>
      <c r="D10" s="4">
        <f>D8+D9</f>
        <v>1389.3</v>
      </c>
      <c r="E10" s="15">
        <f>305.44-142.18+1057.51+37.35+111.63+77.71</f>
        <v>1447.46</v>
      </c>
      <c r="F10" s="15">
        <f>F8+F9</f>
        <v>26.61</v>
      </c>
      <c r="G10" s="15">
        <v>0</v>
      </c>
      <c r="H10" s="5">
        <f t="shared" si="0"/>
        <v>0</v>
      </c>
    </row>
    <row r="11" spans="1:8" ht="15">
      <c r="A11" s="23">
        <v>5</v>
      </c>
      <c r="B11" s="14" t="s">
        <v>14</v>
      </c>
      <c r="C11" s="4"/>
      <c r="D11" s="5">
        <f>20994</f>
        <v>20994</v>
      </c>
      <c r="E11" s="15">
        <f>14714</f>
        <v>14714</v>
      </c>
      <c r="F11" s="17">
        <f>9</f>
        <v>9</v>
      </c>
      <c r="G11" s="15">
        <f>4979.5+0.0003</f>
        <v>4979.5003</v>
      </c>
      <c r="H11" s="5">
        <f t="shared" si="0"/>
        <v>0.7373432692165311</v>
      </c>
    </row>
    <row r="12" spans="1:8" ht="15">
      <c r="A12" s="24"/>
      <c r="B12" s="14" t="s">
        <v>15</v>
      </c>
      <c r="C12" s="4"/>
      <c r="D12" s="5">
        <f>25793</f>
        <v>25793</v>
      </c>
      <c r="E12" s="15">
        <f>9130</f>
        <v>9130</v>
      </c>
      <c r="F12" s="17">
        <f>81</f>
        <v>81</v>
      </c>
      <c r="G12" s="15">
        <f>0</f>
        <v>0</v>
      </c>
      <c r="H12" s="5">
        <f t="shared" si="0"/>
        <v>0</v>
      </c>
    </row>
    <row r="13" spans="1:8" ht="15">
      <c r="A13" s="25"/>
      <c r="B13" s="12" t="s">
        <v>8</v>
      </c>
      <c r="C13" s="12"/>
      <c r="D13" s="13">
        <f>SUM(D11:D12)</f>
        <v>46787</v>
      </c>
      <c r="E13" s="16">
        <f>SUM(E11:E12)</f>
        <v>23844</v>
      </c>
      <c r="F13" s="16">
        <f>SUM(F11:F12)</f>
        <v>90</v>
      </c>
      <c r="G13" s="16">
        <f>SUM(G11:G12)</f>
        <v>4979.5003</v>
      </c>
      <c r="H13" s="5">
        <f t="shared" si="0"/>
        <v>0.7373432692165311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7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7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2">
      <pane xSplit="3" ySplit="10" topLeftCell="D12" activePane="bottomRight" state="frozen"/>
      <selection pane="topLeft" activeCell="A2" sqref="A2"/>
      <selection pane="topRight" activeCell="E2" sqref="E2"/>
      <selection pane="bottomLeft" activeCell="A12" sqref="A12"/>
      <selection pane="bottomRight" activeCell="E5" sqref="E5:E6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5.8515625" style="0" customWidth="1"/>
    <col min="7" max="8" width="12.140625" style="0" customWidth="1"/>
    <col min="9" max="9" width="9.57421875" style="0" bestFit="1" customWidth="1"/>
  </cols>
  <sheetData>
    <row r="3" spans="2:3" ht="15.75">
      <c r="B3" s="8" t="s">
        <v>28</v>
      </c>
      <c r="C3" s="8"/>
    </row>
    <row r="4" spans="1:8" ht="15">
      <c r="A4" s="30" t="s">
        <v>9</v>
      </c>
      <c r="B4" s="30"/>
      <c r="C4" s="30"/>
      <c r="D4" s="30"/>
      <c r="E4" s="30"/>
      <c r="F4" s="30"/>
      <c r="G4" s="30"/>
      <c r="H4" s="30"/>
    </row>
    <row r="5" spans="1:8" ht="75.75" customHeight="1">
      <c r="A5" s="26" t="s">
        <v>0</v>
      </c>
      <c r="B5" s="28" t="s">
        <v>1</v>
      </c>
      <c r="C5" s="26" t="s">
        <v>2</v>
      </c>
      <c r="D5" s="26" t="s">
        <v>10</v>
      </c>
      <c r="E5" s="26" t="s">
        <v>11</v>
      </c>
      <c r="F5" s="26" t="s">
        <v>3</v>
      </c>
      <c r="G5" s="26" t="s">
        <v>4</v>
      </c>
      <c r="H5" s="28" t="s">
        <v>5</v>
      </c>
    </row>
    <row r="6" spans="1:8" ht="37.5" customHeight="1">
      <c r="A6" s="27"/>
      <c r="B6" s="29"/>
      <c r="C6" s="27"/>
      <c r="D6" s="27"/>
      <c r="E6" s="27"/>
      <c r="F6" s="27"/>
      <c r="G6" s="27"/>
      <c r="H6" s="29"/>
    </row>
    <row r="7" spans="1:10" ht="15">
      <c r="A7" s="9">
        <v>1</v>
      </c>
      <c r="B7" s="10" t="s">
        <v>13</v>
      </c>
      <c r="C7" s="9"/>
      <c r="D7" s="11">
        <f>36.16</f>
        <v>36.16</v>
      </c>
      <c r="E7" s="11">
        <f>10.2354-2.924408+22.221+1.8702-5.50528+0.0003</f>
        <v>25.897212000000003</v>
      </c>
      <c r="F7" s="11">
        <f>0.44+0.09+0.2+0.1</f>
        <v>0.83</v>
      </c>
      <c r="G7" s="15">
        <f>26.8893*0.0506+0.0008</f>
        <v>1.36139858</v>
      </c>
      <c r="H7" s="5">
        <f>G7/6752.6</f>
        <v>0.00020161102094008233</v>
      </c>
      <c r="J7" s="6"/>
    </row>
    <row r="8" spans="1:10" ht="15">
      <c r="A8" s="2">
        <v>2</v>
      </c>
      <c r="B8" s="3" t="s">
        <v>6</v>
      </c>
      <c r="C8" s="5"/>
      <c r="D8" s="5">
        <f>549.9</f>
        <v>549.9</v>
      </c>
      <c r="E8" s="15">
        <f>201.96-57.6+439.15+36.96-108.8</f>
        <v>511.67</v>
      </c>
      <c r="F8" s="15">
        <f>8.63+1.73+3.88+1.94</f>
        <v>16.180000000000003</v>
      </c>
      <c r="G8" s="15">
        <f>D8-E8-F8-0.0002</f>
        <v>22.04979999999996</v>
      </c>
      <c r="H8" s="5">
        <f aca="true" t="shared" si="0" ref="H8:H13">G8/6752.6</f>
        <v>0.0032653792613215587</v>
      </c>
      <c r="J8" s="6"/>
    </row>
    <row r="9" spans="1:10" ht="15">
      <c r="A9" s="2">
        <v>3</v>
      </c>
      <c r="B9" s="3" t="s">
        <v>12</v>
      </c>
      <c r="C9" s="4" t="s">
        <v>29</v>
      </c>
      <c r="D9" s="4">
        <f>53503-52749</f>
        <v>754</v>
      </c>
      <c r="E9" s="15">
        <f>196.91-56.26+498+44.59-73.72</f>
        <v>609.52</v>
      </c>
      <c r="F9" s="15">
        <f>7</f>
        <v>7</v>
      </c>
      <c r="G9" s="15">
        <f>26.8893+0.0023</f>
        <v>26.8916</v>
      </c>
      <c r="H9" s="5">
        <f t="shared" si="0"/>
        <v>0.003982406776648994</v>
      </c>
      <c r="J9" s="6"/>
    </row>
    <row r="10" spans="1:8" ht="15">
      <c r="A10" s="2">
        <v>4</v>
      </c>
      <c r="B10" s="3" t="s">
        <v>7</v>
      </c>
      <c r="C10" s="4"/>
      <c r="D10" s="4">
        <f>D8+D9</f>
        <v>1303.9</v>
      </c>
      <c r="E10" s="15">
        <f>285.2-81.42+895.65+72.97+107.33-20.8+56.42-11.64-182.52</f>
        <v>1121.1899999999998</v>
      </c>
      <c r="F10" s="15">
        <f>F8+F9</f>
        <v>23.180000000000003</v>
      </c>
      <c r="G10" s="15">
        <v>0</v>
      </c>
      <c r="H10" s="5">
        <f t="shared" si="0"/>
        <v>0</v>
      </c>
    </row>
    <row r="11" spans="1:8" ht="15">
      <c r="A11" s="23">
        <v>5</v>
      </c>
      <c r="B11" s="14" t="s">
        <v>14</v>
      </c>
      <c r="C11" s="4"/>
      <c r="D11" s="5">
        <f>21185</f>
        <v>21185</v>
      </c>
      <c r="E11" s="15">
        <f>17090-416-119</f>
        <v>16555</v>
      </c>
      <c r="F11" s="17">
        <f>8</f>
        <v>8</v>
      </c>
      <c r="G11" s="15">
        <f>D11-E11-F11+0.0006</f>
        <v>4622.0006</v>
      </c>
      <c r="H11" s="5">
        <f t="shared" si="0"/>
        <v>0.6844771791606197</v>
      </c>
    </row>
    <row r="12" spans="1:8" ht="15">
      <c r="A12" s="24"/>
      <c r="B12" s="14" t="s">
        <v>15</v>
      </c>
      <c r="C12" s="4"/>
      <c r="D12" s="5">
        <f>22042</f>
        <v>22042</v>
      </c>
      <c r="E12" s="15">
        <f>7220</f>
        <v>7220</v>
      </c>
      <c r="F12" s="17">
        <f>57</f>
        <v>57</v>
      </c>
      <c r="G12" s="15">
        <f>357.5+0.0008</f>
        <v>357.5008</v>
      </c>
      <c r="H12" s="5">
        <f t="shared" si="0"/>
        <v>0.05294268874211415</v>
      </c>
    </row>
    <row r="13" spans="1:8" ht="15">
      <c r="A13" s="25"/>
      <c r="B13" s="12" t="s">
        <v>8</v>
      </c>
      <c r="C13" s="12"/>
      <c r="D13" s="13">
        <f>SUM(D11:D12)</f>
        <v>43227</v>
      </c>
      <c r="E13" s="16">
        <f>SUM(E11:E12)</f>
        <v>23775</v>
      </c>
      <c r="F13" s="16">
        <f>SUM(F11:F12)</f>
        <v>65</v>
      </c>
      <c r="G13" s="16">
        <f>SUM(G11:G12)</f>
        <v>4979.5014</v>
      </c>
      <c r="H13" s="5">
        <f t="shared" si="0"/>
        <v>0.7374198679027337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7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7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2">
      <pane xSplit="3" ySplit="10" topLeftCell="D12" activePane="bottomRight" state="frozen"/>
      <selection pane="topLeft" activeCell="A2" sqref="A2"/>
      <selection pane="topRight" activeCell="E2" sqref="E2"/>
      <selection pane="bottomLeft" activeCell="A12" sqref="A12"/>
      <selection pane="bottomRight" activeCell="A3" sqref="A3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5.8515625" style="0" customWidth="1"/>
    <col min="7" max="8" width="12.140625" style="0" customWidth="1"/>
    <col min="9" max="9" width="9.57421875" style="0" bestFit="1" customWidth="1"/>
  </cols>
  <sheetData>
    <row r="3" spans="2:3" ht="15.75">
      <c r="B3" s="8" t="s">
        <v>30</v>
      </c>
      <c r="C3" s="8"/>
    </row>
    <row r="4" spans="1:8" ht="15">
      <c r="A4" s="30" t="s">
        <v>9</v>
      </c>
      <c r="B4" s="30"/>
      <c r="C4" s="30"/>
      <c r="D4" s="30"/>
      <c r="E4" s="30"/>
      <c r="F4" s="30"/>
      <c r="G4" s="30"/>
      <c r="H4" s="30"/>
    </row>
    <row r="5" spans="1:8" ht="75.75" customHeight="1">
      <c r="A5" s="26" t="s">
        <v>0</v>
      </c>
      <c r="B5" s="28" t="s">
        <v>1</v>
      </c>
      <c r="C5" s="26" t="s">
        <v>2</v>
      </c>
      <c r="D5" s="26" t="s">
        <v>10</v>
      </c>
      <c r="E5" s="26" t="s">
        <v>11</v>
      </c>
      <c r="F5" s="26" t="s">
        <v>3</v>
      </c>
      <c r="G5" s="26" t="s">
        <v>4</v>
      </c>
      <c r="H5" s="28" t="s">
        <v>5</v>
      </c>
    </row>
    <row r="6" spans="1:8" ht="37.5" customHeight="1">
      <c r="A6" s="27"/>
      <c r="B6" s="29"/>
      <c r="C6" s="27"/>
      <c r="D6" s="27"/>
      <c r="E6" s="27"/>
      <c r="F6" s="27"/>
      <c r="G6" s="27"/>
      <c r="H6" s="29"/>
    </row>
    <row r="7" spans="1:10" ht="15">
      <c r="A7" s="9">
        <v>1</v>
      </c>
      <c r="B7" s="10" t="s">
        <v>13</v>
      </c>
      <c r="C7" s="9"/>
      <c r="D7" s="11">
        <f>31.19</f>
        <v>31.19</v>
      </c>
      <c r="E7" s="11">
        <f>9.0781-2.593732+17.7189+0.2797-5.7472+0.0017</f>
        <v>18.737468</v>
      </c>
      <c r="F7" s="11">
        <f>0.35+0.07+0.16+0.08</f>
        <v>0.6599999999999999</v>
      </c>
      <c r="G7" s="15">
        <f>26.8893*0.0449+0.0002</f>
        <v>1.20752957</v>
      </c>
      <c r="H7" s="5">
        <f aca="true" t="shared" si="0" ref="H7:H13">G7/6752.6</f>
        <v>0.00017882438912418918</v>
      </c>
      <c r="J7" s="6"/>
    </row>
    <row r="8" spans="1:10" ht="15">
      <c r="A8" s="2">
        <v>2</v>
      </c>
      <c r="B8" s="3" t="s">
        <v>6</v>
      </c>
      <c r="C8" s="5"/>
      <c r="D8" s="5">
        <f>498</f>
        <v>498</v>
      </c>
      <c r="E8" s="15">
        <f>201.96-57.6+394.63+6.23-128</f>
        <v>417.22</v>
      </c>
      <c r="F8" s="15">
        <f>7.71+1.54+3.47+1.73</f>
        <v>14.450000000000001</v>
      </c>
      <c r="G8" s="15">
        <f>26.8893+0.0023</f>
        <v>26.8916</v>
      </c>
      <c r="H8" s="5">
        <f t="shared" si="0"/>
        <v>0.003982406776648994</v>
      </c>
      <c r="J8" s="6"/>
    </row>
    <row r="9" spans="1:10" ht="15">
      <c r="A9" s="2">
        <v>3</v>
      </c>
      <c r="B9" s="3" t="s">
        <v>12</v>
      </c>
      <c r="C9" s="4" t="s">
        <v>31</v>
      </c>
      <c r="D9" s="4">
        <f>54484-53503</f>
        <v>981</v>
      </c>
      <c r="E9" s="15">
        <f>224.07-64.02+606.72+27.84-98.94</f>
        <v>695.6700000000001</v>
      </c>
      <c r="F9" s="15">
        <f>9</f>
        <v>9</v>
      </c>
      <c r="G9" s="15">
        <f>26.8893+0.0023</f>
        <v>26.8916</v>
      </c>
      <c r="H9" s="5">
        <f t="shared" si="0"/>
        <v>0.003982406776648994</v>
      </c>
      <c r="J9" s="6"/>
    </row>
    <row r="10" spans="1:8" ht="15">
      <c r="A10" s="2">
        <v>4</v>
      </c>
      <c r="B10" s="3" t="s">
        <v>7</v>
      </c>
      <c r="C10" s="4"/>
      <c r="D10" s="4">
        <f>D8+D9</f>
        <v>1479</v>
      </c>
      <c r="E10" s="15">
        <f>322.4-92.04+971.22+16.22-226.94+88.95-16+62.66-13.58</f>
        <v>1112.89</v>
      </c>
      <c r="F10" s="15">
        <f>F8+F9</f>
        <v>23.450000000000003</v>
      </c>
      <c r="G10" s="15">
        <v>0</v>
      </c>
      <c r="H10" s="5">
        <f t="shared" si="0"/>
        <v>0</v>
      </c>
    </row>
    <row r="11" spans="1:8" ht="15">
      <c r="A11" s="23">
        <v>5</v>
      </c>
      <c r="B11" s="14" t="s">
        <v>14</v>
      </c>
      <c r="C11" s="4"/>
      <c r="D11" s="5">
        <f>22206</f>
        <v>22206</v>
      </c>
      <c r="E11" s="15">
        <f>18727-713-119</f>
        <v>17895</v>
      </c>
      <c r="F11" s="17">
        <f>11</f>
        <v>11</v>
      </c>
      <c r="G11" s="15">
        <f>D11-E11-F11-0.0007</f>
        <v>4299.9993</v>
      </c>
      <c r="H11" s="5">
        <f t="shared" si="0"/>
        <v>0.6367916506234635</v>
      </c>
    </row>
    <row r="12" spans="1:8" ht="15">
      <c r="A12" s="24"/>
      <c r="B12" s="14" t="s">
        <v>15</v>
      </c>
      <c r="C12" s="4"/>
      <c r="D12" s="5">
        <f>22581</f>
        <v>22581</v>
      </c>
      <c r="E12" s="15">
        <f>8594</f>
        <v>8594</v>
      </c>
      <c r="F12" s="17">
        <f>78</f>
        <v>78</v>
      </c>
      <c r="G12" s="15">
        <f>679.5-0.0006</f>
        <v>679.4994</v>
      </c>
      <c r="H12" s="5">
        <f t="shared" si="0"/>
        <v>0.10062781743328496</v>
      </c>
    </row>
    <row r="13" spans="1:8" ht="15">
      <c r="A13" s="25"/>
      <c r="B13" s="12" t="s">
        <v>8</v>
      </c>
      <c r="C13" s="12"/>
      <c r="D13" s="13">
        <f>SUM(D11:D12)</f>
        <v>44787</v>
      </c>
      <c r="E13" s="16">
        <f>SUM(E11:E12)</f>
        <v>26489</v>
      </c>
      <c r="F13" s="16">
        <f>SUM(F11:F12)</f>
        <v>89</v>
      </c>
      <c r="G13" s="16">
        <f>SUM(G11:G12)</f>
        <v>4979.4987</v>
      </c>
      <c r="H13" s="5">
        <f t="shared" si="0"/>
        <v>0.7374194680567485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7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7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2">
      <pane xSplit="3" ySplit="10" topLeftCell="D12" activePane="bottomRight" state="frozen"/>
      <selection pane="topLeft" activeCell="A2" sqref="A2"/>
      <selection pane="topRight" activeCell="E2" sqref="E2"/>
      <selection pane="bottomLeft" activeCell="A12" sqref="A12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5.8515625" style="0" customWidth="1"/>
    <col min="7" max="8" width="12.140625" style="0" customWidth="1"/>
    <col min="9" max="9" width="9.57421875" style="0" bestFit="1" customWidth="1"/>
  </cols>
  <sheetData>
    <row r="3" spans="2:3" ht="15.75">
      <c r="B3" s="8" t="s">
        <v>32</v>
      </c>
      <c r="C3" s="8"/>
    </row>
    <row r="4" spans="1:8" ht="15">
      <c r="A4" s="30" t="s">
        <v>9</v>
      </c>
      <c r="B4" s="30"/>
      <c r="C4" s="30"/>
      <c r="D4" s="30"/>
      <c r="E4" s="30"/>
      <c r="F4" s="30"/>
      <c r="G4" s="30"/>
      <c r="H4" s="30"/>
    </row>
    <row r="5" spans="1:8" ht="75.75" customHeight="1">
      <c r="A5" s="26" t="s">
        <v>0</v>
      </c>
      <c r="B5" s="28" t="s">
        <v>1</v>
      </c>
      <c r="C5" s="26" t="s">
        <v>2</v>
      </c>
      <c r="D5" s="26" t="s">
        <v>10</v>
      </c>
      <c r="E5" s="26" t="s">
        <v>11</v>
      </c>
      <c r="F5" s="26" t="s">
        <v>3</v>
      </c>
      <c r="G5" s="26" t="s">
        <v>4</v>
      </c>
      <c r="H5" s="28" t="s">
        <v>5</v>
      </c>
    </row>
    <row r="6" spans="1:8" ht="37.5" customHeight="1">
      <c r="A6" s="27"/>
      <c r="B6" s="29"/>
      <c r="C6" s="27"/>
      <c r="D6" s="27"/>
      <c r="E6" s="27"/>
      <c r="F6" s="27"/>
      <c r="G6" s="27"/>
      <c r="H6" s="29"/>
    </row>
    <row r="7" spans="1:10" ht="15">
      <c r="A7" s="9">
        <v>1</v>
      </c>
      <c r="B7" s="10" t="s">
        <v>13</v>
      </c>
      <c r="C7" s="9"/>
      <c r="D7" s="11">
        <f>42.56</f>
        <v>42.56</v>
      </c>
      <c r="E7" s="11">
        <f>11.0883-3.168106+22.3745+1.4948+0.0004</f>
        <v>31.789894</v>
      </c>
      <c r="F7" s="11">
        <f>0.57+0.11+0.26+0.13</f>
        <v>1.0699999999999998</v>
      </c>
      <c r="G7" s="15">
        <f>26.8893*0.0549+0.0003</f>
        <v>1.4765225699999998</v>
      </c>
      <c r="H7" s="5">
        <f aca="true" t="shared" si="0" ref="H7:H13">G7/6752.6</f>
        <v>0.00021865985990581402</v>
      </c>
      <c r="J7" s="6"/>
    </row>
    <row r="8" spans="1:10" ht="15">
      <c r="A8" s="2">
        <v>2</v>
      </c>
      <c r="B8" s="3" t="s">
        <v>6</v>
      </c>
      <c r="C8" s="5"/>
      <c r="D8" s="5">
        <f>670.7</f>
        <v>670.7</v>
      </c>
      <c r="E8" s="15">
        <f>201.96-57.6+407.55+27.23</f>
        <v>579.1400000000001</v>
      </c>
      <c r="F8" s="15">
        <f>10.48+2.09+4.72+2.35</f>
        <v>19.64</v>
      </c>
      <c r="G8" s="15">
        <f>26.8893+0.0023</f>
        <v>26.8916</v>
      </c>
      <c r="H8" s="5">
        <f t="shared" si="0"/>
        <v>0.003982406776648994</v>
      </c>
      <c r="J8" s="6"/>
    </row>
    <row r="9" spans="1:10" ht="15">
      <c r="A9" s="2">
        <v>3</v>
      </c>
      <c r="B9" s="3" t="s">
        <v>12</v>
      </c>
      <c r="C9" s="4" t="s">
        <v>33</v>
      </c>
      <c r="D9" s="4">
        <f>55289-54484</f>
        <v>805</v>
      </c>
      <c r="E9" s="15">
        <f>224.07-64.02+412.42+24.29</f>
        <v>596.76</v>
      </c>
      <c r="F9" s="15">
        <f>9</f>
        <v>9</v>
      </c>
      <c r="G9" s="15">
        <f>26.8893+0.0023</f>
        <v>26.8916</v>
      </c>
      <c r="H9" s="5">
        <f t="shared" si="0"/>
        <v>0.003982406776648994</v>
      </c>
      <c r="J9" s="6"/>
    </row>
    <row r="10" spans="1:8" ht="15">
      <c r="A10" s="2">
        <v>4</v>
      </c>
      <c r="B10" s="3" t="s">
        <v>7</v>
      </c>
      <c r="C10" s="4"/>
      <c r="D10" s="4">
        <f>D8+D9</f>
        <v>1475.7</v>
      </c>
      <c r="E10" s="15">
        <f>322.4-92.04+784.33+27.74+82-16+63.52+17.53-13.58</f>
        <v>1175.9</v>
      </c>
      <c r="F10" s="15">
        <f>F8+F9</f>
        <v>28.64</v>
      </c>
      <c r="G10" s="15">
        <v>0</v>
      </c>
      <c r="H10" s="5">
        <f t="shared" si="0"/>
        <v>0</v>
      </c>
    </row>
    <row r="11" spans="1:8" ht="15">
      <c r="A11" s="23">
        <v>5</v>
      </c>
      <c r="B11" s="14" t="s">
        <v>14</v>
      </c>
      <c r="C11" s="4"/>
      <c r="D11" s="5">
        <f>26664</f>
        <v>26664</v>
      </c>
      <c r="E11" s="15">
        <f>18726-1885-119</f>
        <v>16722</v>
      </c>
      <c r="F11" s="17">
        <f>22</f>
        <v>22</v>
      </c>
      <c r="G11" s="15">
        <f>4979.5</f>
        <v>4979.5</v>
      </c>
      <c r="H11" s="5">
        <f t="shared" si="0"/>
        <v>0.7374196605751858</v>
      </c>
    </row>
    <row r="12" spans="1:8" ht="15">
      <c r="A12" s="24"/>
      <c r="B12" s="14" t="s">
        <v>15</v>
      </c>
      <c r="C12" s="4"/>
      <c r="D12" s="5">
        <f>30859</f>
        <v>30859</v>
      </c>
      <c r="E12" s="15">
        <f>9641</f>
        <v>9641</v>
      </c>
      <c r="F12" s="17">
        <f>79</f>
        <v>79</v>
      </c>
      <c r="G12" s="15">
        <f>0</f>
        <v>0</v>
      </c>
      <c r="H12" s="5">
        <f t="shared" si="0"/>
        <v>0</v>
      </c>
    </row>
    <row r="13" spans="1:8" ht="15">
      <c r="A13" s="25"/>
      <c r="B13" s="12" t="s">
        <v>8</v>
      </c>
      <c r="C13" s="12"/>
      <c r="D13" s="13">
        <f>SUM(D11:D12)</f>
        <v>57523</v>
      </c>
      <c r="E13" s="16">
        <f>SUM(E11:E12)</f>
        <v>26363</v>
      </c>
      <c r="F13" s="16">
        <f>SUM(F11:F12)</f>
        <v>101</v>
      </c>
      <c r="G13" s="16">
        <f>SUM(G11:G12)</f>
        <v>4979.5</v>
      </c>
      <c r="H13" s="5">
        <f t="shared" si="0"/>
        <v>0.7374196605751858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7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7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2013-01-25T05:17:16Z</cp:lastPrinted>
  <dcterms:created xsi:type="dcterms:W3CDTF">2006-09-16T00:00:00Z</dcterms:created>
  <dcterms:modified xsi:type="dcterms:W3CDTF">2017-01-31T12:12:37Z</dcterms:modified>
  <cp:category/>
  <cp:version/>
  <cp:contentType/>
  <cp:contentStatus/>
</cp:coreProperties>
</file>