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11"/>
  </bookViews>
  <sheets>
    <sheet name="78 (январь)" sheetId="1" r:id="rId1"/>
    <sheet name="78 (февраль)" sheetId="2" r:id="rId2"/>
    <sheet name="78 (март)" sheetId="3" r:id="rId3"/>
    <sheet name="78 (апрель)" sheetId="4" r:id="rId4"/>
    <sheet name="78 (май)" sheetId="5" r:id="rId5"/>
    <sheet name="78 (июнь)" sheetId="6" r:id="rId6"/>
    <sheet name="78 (июль)" sheetId="7" r:id="rId7"/>
    <sheet name="78 (август)" sheetId="8" r:id="rId8"/>
    <sheet name="78 (сентябрь)" sheetId="9" r:id="rId9"/>
    <sheet name="78 (октябрь)" sheetId="10" r:id="rId10"/>
    <sheet name="78 (ноябрь)" sheetId="11" r:id="rId11"/>
    <sheet name="78 (декабрь)" sheetId="12" r:id="rId12"/>
  </sheets>
  <definedNames/>
  <calcPr fullCalcOnLoad="1"/>
</workbook>
</file>

<file path=xl/sharedStrings.xml><?xml version="1.0" encoding="utf-8"?>
<sst xmlns="http://schemas.openxmlformats.org/spreadsheetml/2006/main" count="246" uniqueCount="57">
  <si>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</si>
  <si>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</si>
  <si>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</si>
  <si>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</si>
  <si>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</si>
  <si>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</si>
  <si>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</si>
  <si>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показания прибора учета (моп, лифты, дымоудаление)</t>
  </si>
  <si>
    <t>Репина 78</t>
  </si>
  <si>
    <t>ГВС (тонн)</t>
  </si>
  <si>
    <t>водоотведение(тонн)</t>
  </si>
  <si>
    <t>объем потребления</t>
  </si>
  <si>
    <t>показание 1</t>
  </si>
  <si>
    <t>показание 2</t>
  </si>
  <si>
    <t>итого по эл.эн.</t>
  </si>
  <si>
    <t>эл.эн.день № сч.175696</t>
  </si>
  <si>
    <t>эл.эн.ночь № сч.175696</t>
  </si>
  <si>
    <t>эл.эн.день № сч.701840</t>
  </si>
  <si>
    <t>эл.эн.ночь № сч.701840</t>
  </si>
  <si>
    <t>эл.эн.день № сч.545714</t>
  </si>
  <si>
    <t>эл.эн.ночь № сч.545714</t>
  </si>
  <si>
    <t>эл.эн.день № сч.497718</t>
  </si>
  <si>
    <t>эл.эн.ночь № сч.497718</t>
  </si>
  <si>
    <t>эл.эн.день № сч.631328</t>
  </si>
  <si>
    <t>эл.эн.ночь № сч.631328</t>
  </si>
  <si>
    <t>эл.эн.день № сч.631347</t>
  </si>
  <si>
    <t>эл.эн.ночь № сч.631347</t>
  </si>
  <si>
    <t>ночь эл.эн.</t>
  </si>
  <si>
    <t>день эл.эн.</t>
  </si>
  <si>
    <t>нагрев воды (Г.кал.)</t>
  </si>
  <si>
    <t>Объем коммунальных услуг по показаниям общедомовых приборов учета (ОДН) за январь в феврале 2015г.</t>
  </si>
  <si>
    <t>ХВС (тонн)</t>
  </si>
  <si>
    <t>85821/87029</t>
  </si>
  <si>
    <t>Объем коммунальных услуг по показаниям общедомовых приборов учета (ОДН) за февраль в марте 2015г.</t>
  </si>
  <si>
    <t>87029,/88871</t>
  </si>
  <si>
    <t>Объем коммунальных услуг по показаниям общедомовых приборов учета (ОДН) за март в апреле 2015г.</t>
  </si>
  <si>
    <t>88871/90450</t>
  </si>
  <si>
    <t>Общий объем эл.эн.день</t>
  </si>
  <si>
    <t>Общий объем эл.эн.ночь</t>
  </si>
  <si>
    <t>Объем коммунальных услуг по показаниям общедомовых приборов учета (ОДН) за апрель в мае 2015г.</t>
  </si>
  <si>
    <t>90450/90884/92189</t>
  </si>
  <si>
    <t>Объем коммунальных услуг по показаниям общедомовых приборов учета (ОДН) за май в июне 2015г.</t>
  </si>
  <si>
    <t>92189,/93842</t>
  </si>
  <si>
    <t>Объем коммунальных услуг по показаниям общедомовых приборов учета (ОДН) за июнь в июле 2015г.</t>
  </si>
  <si>
    <t>93842,/95392</t>
  </si>
  <si>
    <t>Объем коммунальных услуг по показаниям общедомовых приборов учета (ОДН) за июль в августе 2015г.</t>
  </si>
  <si>
    <t>95392,/96840</t>
  </si>
  <si>
    <t>Объем коммунальных услуг по показаниям общедомовых приборов учета (ОДН) за август в сентябре 2015г.</t>
  </si>
  <si>
    <t>96840,/98500</t>
  </si>
  <si>
    <t>Объем коммунальных услуг по показаниям общедомовых приборов учета (ОДН) за сентябрь в октябре 2015г.</t>
  </si>
  <si>
    <t>98500,/99808</t>
  </si>
  <si>
    <t>Объем коммунальных услуг по показаниям общедомовых приборов учета (ОДН) за октябрь в ноябре 2015г.</t>
  </si>
  <si>
    <t>1007/1378, 99808/1007</t>
  </si>
  <si>
    <t>Объем коммунальных услуг по показаниям общедомовых приборов учета (ОДН) за ноябрь в декабре 2015г.</t>
  </si>
  <si>
    <t>1378,/3021</t>
  </si>
  <si>
    <t>Объем коммунальных услуг по показаниям общедомовых приборов учета (ОДН) за декабрь в январе 2016г.</t>
  </si>
  <si>
    <t>3021,/4718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</si>
</sst>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000"/>
    <numFmt numFmtId="171" formatCode="#,##0.000"/>
    <numFmt numFmtId="172" formatCode="0.0000000"/>
    <numFmt numFmtId="173" formatCode="0.000000000"/>
    <numFmt numFmtId="174" formatCode="0.0000000000"/>
    <numFmt numFmtId="175" formatCode="0.00000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 wrapText="1"/>
    </xf>
    <xf numFmtId="4" fontId="0" fillId="24" borderId="0" xfId="0" applyNumberForma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24" borderId="10" xfId="0" applyNumberForma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7" sqref="D7"/>
    </sheetView>
  </sheetViews>
  <sheetFormatPr defaultColWidth="9.140625" defaultRowHeight="15"/>
  <cols>
    <col min="1" max="1" width="5.00390625" style="0" customWidth="1"/>
    <col min="2" max="2" width="24.28125" style="0" customWidth="1"/>
    <col min="3" max="3" width="18.140625" style="0" customWidth="1"/>
    <col min="4" max="4" width="17.00390625" style="0" customWidth="1"/>
    <col min="5" max="5" width="16.140625" style="0" customWidth="1"/>
    <col min="6" max="6" width="15.57421875" style="0" customWidth="1"/>
    <col min="7" max="7" width="16.7109375" style="0" customWidth="1"/>
    <col min="8" max="8" width="15.00390625" style="0" customWidth="1"/>
    <col min="9" max="9" width="12.7109375" style="0" customWidth="1"/>
    <col min="10" max="10" width="12.57421875" style="0" customWidth="1"/>
  </cols>
  <sheetData>
    <row r="3" ht="15.75">
      <c r="C3" s="11" t="s">
        <v>30</v>
      </c>
    </row>
    <row r="4" spans="1:10" ht="15">
      <c r="A4" s="35" t="s">
        <v>8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72.75" customHeight="1">
      <c r="A5" s="28" t="s">
        <v>0</v>
      </c>
      <c r="B5" s="33" t="s">
        <v>1</v>
      </c>
      <c r="C5" s="28" t="s">
        <v>2</v>
      </c>
      <c r="D5" s="36" t="s">
        <v>7</v>
      </c>
      <c r="E5" s="37"/>
      <c r="F5" s="28" t="s">
        <v>11</v>
      </c>
      <c r="G5" s="28" t="s">
        <v>3</v>
      </c>
      <c r="H5" s="28" t="s">
        <v>4</v>
      </c>
      <c r="I5" s="28" t="s">
        <v>5</v>
      </c>
      <c r="J5" s="33" t="s">
        <v>6</v>
      </c>
    </row>
    <row r="6" spans="1:10" ht="15.75">
      <c r="A6" s="29"/>
      <c r="B6" s="34"/>
      <c r="C6" s="29"/>
      <c r="D6" s="12" t="s">
        <v>12</v>
      </c>
      <c r="E6" s="13" t="s">
        <v>13</v>
      </c>
      <c r="F6" s="29"/>
      <c r="G6" s="29"/>
      <c r="H6" s="29"/>
      <c r="I6" s="29"/>
      <c r="J6" s="34"/>
    </row>
    <row r="7" spans="1:10" ht="15">
      <c r="A7" s="14">
        <v>1</v>
      </c>
      <c r="B7" s="15" t="s">
        <v>29</v>
      </c>
      <c r="C7" s="14"/>
      <c r="D7" s="16"/>
      <c r="E7" s="17"/>
      <c r="F7" s="14">
        <v>117.59</v>
      </c>
      <c r="G7" s="18">
        <v>59.96776246000001</v>
      </c>
      <c r="H7" s="18">
        <v>0.66</v>
      </c>
      <c r="I7" s="5">
        <v>2.19995676</v>
      </c>
      <c r="J7" s="6">
        <v>0.00014498963699153771</v>
      </c>
    </row>
    <row r="8" spans="1:12" ht="15">
      <c r="A8" s="2">
        <v>2</v>
      </c>
      <c r="B8" s="3" t="s">
        <v>9</v>
      </c>
      <c r="C8" s="6"/>
      <c r="D8" s="4"/>
      <c r="E8" s="4"/>
      <c r="F8" s="6">
        <v>1122.6799999999998</v>
      </c>
      <c r="G8" s="5">
        <v>1254.5557000000001</v>
      </c>
      <c r="H8" s="5">
        <v>6.64</v>
      </c>
      <c r="I8" s="5">
        <v>-138.51570000000027</v>
      </c>
      <c r="J8" s="6">
        <v>-0.009128970816966774</v>
      </c>
      <c r="L8" s="8"/>
    </row>
    <row r="9" spans="1:10" ht="15">
      <c r="A9" s="2">
        <v>3</v>
      </c>
      <c r="B9" s="3" t="s">
        <v>31</v>
      </c>
      <c r="C9" s="5" t="s">
        <v>32</v>
      </c>
      <c r="D9" s="4"/>
      <c r="E9" s="4"/>
      <c r="F9" s="5">
        <v>1208</v>
      </c>
      <c r="G9" s="5">
        <v>1416.117</v>
      </c>
      <c r="H9" s="5">
        <v>16</v>
      </c>
      <c r="I9" s="5">
        <v>-224.11699999999996</v>
      </c>
      <c r="J9" s="6">
        <v>-0.014770582342551337</v>
      </c>
    </row>
    <row r="10" spans="1:10" ht="15">
      <c r="A10" s="2">
        <v>4</v>
      </c>
      <c r="B10" s="3" t="s">
        <v>10</v>
      </c>
      <c r="C10" s="5"/>
      <c r="D10" s="4"/>
      <c r="E10" s="4"/>
      <c r="F10" s="5">
        <v>2330.68</v>
      </c>
      <c r="G10" s="5">
        <v>2724.3327</v>
      </c>
      <c r="H10" s="5">
        <v>22.64</v>
      </c>
      <c r="I10" s="5">
        <v>0</v>
      </c>
      <c r="J10" s="6">
        <v>0</v>
      </c>
    </row>
    <row r="11" spans="1:10" ht="15">
      <c r="A11" s="30">
        <v>5</v>
      </c>
      <c r="B11" s="3" t="s">
        <v>15</v>
      </c>
      <c r="C11" s="5"/>
      <c r="D11" s="9">
        <v>107278</v>
      </c>
      <c r="E11" s="9">
        <v>107704</v>
      </c>
      <c r="F11" s="19">
        <v>447</v>
      </c>
      <c r="G11" s="5">
        <v>0</v>
      </c>
      <c r="H11" s="5">
        <v>0</v>
      </c>
      <c r="I11" s="5">
        <v>447</v>
      </c>
      <c r="J11" s="6">
        <v>0.029459837081169428</v>
      </c>
    </row>
    <row r="12" spans="1:10" ht="15">
      <c r="A12" s="31"/>
      <c r="B12" s="3" t="s">
        <v>16</v>
      </c>
      <c r="C12" s="5"/>
      <c r="D12" s="9">
        <v>165878</v>
      </c>
      <c r="E12" s="9">
        <v>166602</v>
      </c>
      <c r="F12" s="19">
        <v>760</v>
      </c>
      <c r="G12" s="5">
        <v>0</v>
      </c>
      <c r="H12" s="5">
        <v>0</v>
      </c>
      <c r="I12" s="5">
        <v>760</v>
      </c>
      <c r="J12" s="6">
        <v>0.05008831360556771</v>
      </c>
    </row>
    <row r="13" spans="1:10" ht="15">
      <c r="A13" s="31"/>
      <c r="B13" s="3" t="s">
        <v>17</v>
      </c>
      <c r="C13" s="5"/>
      <c r="D13" s="9">
        <v>171035</v>
      </c>
      <c r="E13" s="9">
        <v>173382</v>
      </c>
      <c r="F13" s="19">
        <v>2465</v>
      </c>
      <c r="G13" s="5">
        <v>0</v>
      </c>
      <c r="H13" s="5">
        <v>0</v>
      </c>
      <c r="I13" s="5">
        <v>2465</v>
      </c>
      <c r="J13" s="6">
        <v>0.16245749083911107</v>
      </c>
    </row>
    <row r="14" spans="1:10" ht="15">
      <c r="A14" s="31"/>
      <c r="B14" s="3" t="s">
        <v>18</v>
      </c>
      <c r="C14" s="5"/>
      <c r="D14" s="9">
        <v>163539</v>
      </c>
      <c r="E14" s="9">
        <v>165847</v>
      </c>
      <c r="F14" s="19">
        <v>2424</v>
      </c>
      <c r="G14" s="5">
        <v>0</v>
      </c>
      <c r="H14" s="5">
        <v>0</v>
      </c>
      <c r="I14" s="5">
        <v>2424</v>
      </c>
      <c r="J14" s="6">
        <v>0.15975535813144226</v>
      </c>
    </row>
    <row r="15" spans="1:10" ht="15">
      <c r="A15" s="31"/>
      <c r="B15" s="3" t="s">
        <v>19</v>
      </c>
      <c r="C15" s="5"/>
      <c r="D15" s="9">
        <v>70953</v>
      </c>
      <c r="E15" s="9">
        <v>71724</v>
      </c>
      <c r="F15" s="20">
        <v>771</v>
      </c>
      <c r="G15" s="5">
        <v>0</v>
      </c>
      <c r="H15" s="5">
        <v>0</v>
      </c>
      <c r="I15" s="5">
        <v>771</v>
      </c>
      <c r="J15" s="6">
        <v>0.05081327603933251</v>
      </c>
    </row>
    <row r="16" spans="1:10" ht="15">
      <c r="A16" s="31"/>
      <c r="B16" s="3" t="s">
        <v>20</v>
      </c>
      <c r="C16" s="5"/>
      <c r="D16" s="9">
        <v>88111</v>
      </c>
      <c r="E16" s="9">
        <v>89014</v>
      </c>
      <c r="F16" s="20">
        <v>903</v>
      </c>
      <c r="G16" s="5">
        <v>0</v>
      </c>
      <c r="H16" s="5">
        <v>0</v>
      </c>
      <c r="I16" s="5">
        <v>903</v>
      </c>
      <c r="J16" s="6">
        <v>0.059512825244510056</v>
      </c>
    </row>
    <row r="17" spans="1:10" ht="15">
      <c r="A17" s="31"/>
      <c r="B17" s="3" t="s">
        <v>21</v>
      </c>
      <c r="C17" s="5"/>
      <c r="D17" s="9">
        <v>2931</v>
      </c>
      <c r="E17" s="9">
        <v>2964</v>
      </c>
      <c r="F17" s="20">
        <v>990</v>
      </c>
      <c r="G17" s="5">
        <v>0</v>
      </c>
      <c r="H17" s="5">
        <v>0</v>
      </c>
      <c r="I17" s="5">
        <v>990</v>
      </c>
      <c r="J17" s="6">
        <v>0.06524661903883162</v>
      </c>
    </row>
    <row r="18" spans="1:10" ht="15">
      <c r="A18" s="31"/>
      <c r="B18" s="3" t="s">
        <v>22</v>
      </c>
      <c r="C18" s="5"/>
      <c r="D18" s="9">
        <v>2886</v>
      </c>
      <c r="E18" s="9">
        <v>2922</v>
      </c>
      <c r="F18" s="20">
        <v>1080</v>
      </c>
      <c r="G18" s="5">
        <v>0</v>
      </c>
      <c r="H18" s="5">
        <v>0</v>
      </c>
      <c r="I18" s="5">
        <v>1080</v>
      </c>
      <c r="J18" s="6">
        <v>0.07117812986054359</v>
      </c>
    </row>
    <row r="19" spans="1:10" ht="15">
      <c r="A19" s="31"/>
      <c r="B19" s="3" t="s">
        <v>23</v>
      </c>
      <c r="C19" s="5"/>
      <c r="D19" s="9">
        <v>45088</v>
      </c>
      <c r="E19" s="9">
        <v>45471</v>
      </c>
      <c r="F19" s="19">
        <v>513.0011</v>
      </c>
      <c r="G19" s="5">
        <v>0</v>
      </c>
      <c r="H19" s="5">
        <v>0</v>
      </c>
      <c r="I19" s="5">
        <v>513.0011</v>
      </c>
      <c r="J19" s="6">
        <v>0.033809684180001576</v>
      </c>
    </row>
    <row r="20" spans="1:10" ht="15">
      <c r="A20" s="31"/>
      <c r="B20" s="3" t="s">
        <v>24</v>
      </c>
      <c r="C20" s="5"/>
      <c r="D20" s="9">
        <v>55565</v>
      </c>
      <c r="E20" s="9">
        <v>56050</v>
      </c>
      <c r="F20" s="19">
        <v>612.9995</v>
      </c>
      <c r="G20" s="5">
        <v>0</v>
      </c>
      <c r="H20" s="5">
        <v>0</v>
      </c>
      <c r="I20" s="5">
        <v>612.9995</v>
      </c>
      <c r="J20" s="6">
        <v>0.040400146310600266</v>
      </c>
    </row>
    <row r="21" spans="1:10" ht="15">
      <c r="A21" s="31"/>
      <c r="B21" s="3" t="s">
        <v>25</v>
      </c>
      <c r="C21" s="5"/>
      <c r="D21" s="9">
        <v>74390</v>
      </c>
      <c r="E21" s="9">
        <v>75380</v>
      </c>
      <c r="F21" s="19">
        <v>991.9989999999999</v>
      </c>
      <c r="G21" s="5">
        <v>0</v>
      </c>
      <c r="H21" s="5">
        <v>0</v>
      </c>
      <c r="I21" s="5">
        <v>991.9989999999999</v>
      </c>
      <c r="J21" s="6">
        <v>0.06537836448474942</v>
      </c>
    </row>
    <row r="22" spans="1:10" ht="15">
      <c r="A22" s="31"/>
      <c r="B22" s="3" t="s">
        <v>26</v>
      </c>
      <c r="C22" s="5"/>
      <c r="D22" s="9">
        <v>83138</v>
      </c>
      <c r="E22" s="9">
        <v>84219</v>
      </c>
      <c r="F22" s="19">
        <v>1084.0024999999998</v>
      </c>
      <c r="G22" s="5">
        <v>0</v>
      </c>
      <c r="H22" s="5">
        <v>0</v>
      </c>
      <c r="I22" s="5">
        <v>1084.0024999999998</v>
      </c>
      <c r="J22" s="6">
        <v>0.07144191732792027</v>
      </c>
    </row>
    <row r="23" spans="1:10" ht="15">
      <c r="A23" s="32"/>
      <c r="B23" s="21" t="s">
        <v>14</v>
      </c>
      <c r="C23" s="21"/>
      <c r="D23" s="7"/>
      <c r="E23" s="21"/>
      <c r="F23" s="22">
        <v>13042.0021</v>
      </c>
      <c r="G23" s="22">
        <v>0</v>
      </c>
      <c r="H23" s="22">
        <v>0</v>
      </c>
      <c r="I23" s="22">
        <v>13042.0021</v>
      </c>
      <c r="J23" s="6">
        <v>0.8595419621437798</v>
      </c>
    </row>
    <row r="24" spans="1:10" ht="15">
      <c r="A24" s="1"/>
      <c r="B24" s="1"/>
      <c r="C24" s="1"/>
      <c r="D24" s="1"/>
      <c r="E24" s="1" t="s">
        <v>28</v>
      </c>
      <c r="F24" s="10">
        <v>6178.000099999999</v>
      </c>
      <c r="G24" s="10">
        <v>0</v>
      </c>
      <c r="H24" s="10">
        <v>0</v>
      </c>
      <c r="I24" s="10">
        <v>6178.000099999999</v>
      </c>
      <c r="J24" s="6">
        <v>0.40716527166319555</v>
      </c>
    </row>
    <row r="25" spans="1:10" ht="15">
      <c r="A25" s="1"/>
      <c r="B25" s="1"/>
      <c r="C25" s="1"/>
      <c r="D25" s="1"/>
      <c r="E25" s="1" t="s">
        <v>27</v>
      </c>
      <c r="F25" s="10">
        <v>6864.0019999999995</v>
      </c>
      <c r="G25" s="10">
        <v>0</v>
      </c>
      <c r="H25" s="10">
        <v>0</v>
      </c>
      <c r="I25" s="10">
        <v>6864.0019999999995</v>
      </c>
      <c r="J25" s="6">
        <v>0.45237669048058415</v>
      </c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A11:A23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J1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7" sqref="C7:C8"/>
    </sheetView>
  </sheetViews>
  <sheetFormatPr defaultColWidth="9.140625" defaultRowHeight="15"/>
  <cols>
    <col min="1" max="1" width="5.00390625" style="0" customWidth="1"/>
    <col min="2" max="2" width="24.28125" style="0" customWidth="1"/>
    <col min="3" max="3" width="18.140625" style="0" customWidth="1"/>
    <col min="4" max="4" width="15.57421875" style="0" customWidth="1"/>
    <col min="5" max="5" width="16.7109375" style="0" customWidth="1"/>
    <col min="6" max="6" width="15.00390625" style="0" customWidth="1"/>
    <col min="7" max="7" width="12.7109375" style="0" customWidth="1"/>
    <col min="8" max="8" width="12.57421875" style="0" customWidth="1"/>
  </cols>
  <sheetData>
    <row r="5" spans="2:3" ht="20.25" customHeight="1">
      <c r="B5" s="11" t="s">
        <v>51</v>
      </c>
      <c r="C5" s="11"/>
    </row>
    <row r="6" spans="1:8" ht="15" customHeight="1">
      <c r="A6" s="35" t="s">
        <v>8</v>
      </c>
      <c r="B6" s="35"/>
      <c r="C6" s="35"/>
      <c r="D6" s="35"/>
      <c r="E6" s="35"/>
      <c r="F6" s="35"/>
      <c r="G6" s="35"/>
      <c r="H6" s="35"/>
    </row>
    <row r="7" spans="1:8" ht="66.75" customHeight="1">
      <c r="A7" s="28" t="s">
        <v>0</v>
      </c>
      <c r="B7" s="33" t="s">
        <v>1</v>
      </c>
      <c r="C7" s="28" t="s">
        <v>2</v>
      </c>
      <c r="D7" s="28" t="s">
        <v>11</v>
      </c>
      <c r="E7" s="28" t="s">
        <v>3</v>
      </c>
      <c r="F7" s="28" t="s">
        <v>4</v>
      </c>
      <c r="G7" s="28" t="s">
        <v>5</v>
      </c>
      <c r="H7" s="33" t="s">
        <v>6</v>
      </c>
    </row>
    <row r="8" spans="1:10" ht="15.75" customHeight="1">
      <c r="A8" s="29"/>
      <c r="B8" s="34"/>
      <c r="C8" s="29"/>
      <c r="D8" s="29"/>
      <c r="E8" s="29"/>
      <c r="F8" s="29"/>
      <c r="G8" s="29"/>
      <c r="H8" s="34"/>
      <c r="J8" s="8"/>
    </row>
    <row r="9" spans="1:8" ht="15">
      <c r="A9" s="14">
        <v>1</v>
      </c>
      <c r="B9" s="15" t="s">
        <v>29</v>
      </c>
      <c r="C9" s="14"/>
      <c r="D9" s="14">
        <f>93.79</f>
        <v>93.79</v>
      </c>
      <c r="E9" s="18">
        <f>E10*0.0478+0.004033</f>
        <v>68.0427139426</v>
      </c>
      <c r="F9" s="18">
        <f>0.76+0.2</f>
        <v>0.96</v>
      </c>
      <c r="G9" s="25">
        <f>50.6142*0.0478-0.0002</f>
        <v>2.41915876</v>
      </c>
      <c r="H9" s="6">
        <f>G9/15365.2</f>
        <v>0.00015744401374534662</v>
      </c>
    </row>
    <row r="10" spans="1:8" ht="15">
      <c r="A10" s="2">
        <v>2</v>
      </c>
      <c r="B10" s="3" t="s">
        <v>9</v>
      </c>
      <c r="C10" s="6"/>
      <c r="D10" s="6">
        <f>1218.6</f>
        <v>1218.6</v>
      </c>
      <c r="E10" s="25">
        <f>705.4667-117.333333+678.85+156.42</f>
        <v>1423.403367</v>
      </c>
      <c r="F10" s="25">
        <f>7.78+2.09</f>
        <v>9.870000000000001</v>
      </c>
      <c r="G10" s="25">
        <f>D10-E10-F10+19.7406</f>
        <v>-194.93276699999998</v>
      </c>
      <c r="H10" s="6">
        <f aca="true" t="shared" si="0" ref="H10:H15">G10/15365.2</f>
        <v>-0.012686640395178713</v>
      </c>
    </row>
    <row r="11" spans="1:8" ht="15">
      <c r="A11" s="2">
        <v>3</v>
      </c>
      <c r="B11" s="3" t="s">
        <v>31</v>
      </c>
      <c r="C11" s="5" t="s">
        <v>52</v>
      </c>
      <c r="D11" s="5">
        <f>371+1199</f>
        <v>1570</v>
      </c>
      <c r="E11" s="25">
        <f>463.66-77.276667+954.69+112.06</f>
        <v>1453.133333</v>
      </c>
      <c r="F11" s="25">
        <f>21</f>
        <v>21</v>
      </c>
      <c r="G11" s="25">
        <f>50.6142+0.0011</f>
        <v>50.6153</v>
      </c>
      <c r="H11" s="6">
        <f t="shared" si="0"/>
        <v>0.003294151719469971</v>
      </c>
    </row>
    <row r="12" spans="1:8" ht="15">
      <c r="A12" s="2">
        <v>4</v>
      </c>
      <c r="B12" s="3" t="s">
        <v>10</v>
      </c>
      <c r="C12" s="5"/>
      <c r="D12" s="5">
        <f>D10+D11</f>
        <v>2788.6</v>
      </c>
      <c r="E12" s="25">
        <f>696.9867+1520.63+199.09+435.44+15.53+8.86</f>
        <v>2876.5367000000006</v>
      </c>
      <c r="F12" s="25">
        <f>F10+F11</f>
        <v>30.87</v>
      </c>
      <c r="G12" s="25">
        <v>0</v>
      </c>
      <c r="H12" s="6">
        <f t="shared" si="0"/>
        <v>0</v>
      </c>
    </row>
    <row r="13" spans="1:8" ht="15">
      <c r="A13" s="30">
        <v>5</v>
      </c>
      <c r="B13" s="24" t="s">
        <v>37</v>
      </c>
      <c r="C13" s="5"/>
      <c r="D13" s="20">
        <f>40504</f>
        <v>40504</v>
      </c>
      <c r="E13" s="25">
        <f>32892</f>
        <v>32892</v>
      </c>
      <c r="F13" s="25">
        <f>1138</f>
        <v>1138</v>
      </c>
      <c r="G13" s="25">
        <f>D13-E13-F13-0.0019</f>
        <v>6473.9981</v>
      </c>
      <c r="H13" s="6">
        <f t="shared" si="0"/>
        <v>0.42134160961132944</v>
      </c>
    </row>
    <row r="14" spans="1:8" ht="15">
      <c r="A14" s="31"/>
      <c r="B14" s="24" t="s">
        <v>38</v>
      </c>
      <c r="C14" s="5"/>
      <c r="D14" s="20">
        <f>26893</f>
        <v>26893</v>
      </c>
      <c r="E14" s="25">
        <f>19411</f>
        <v>19411</v>
      </c>
      <c r="F14" s="25">
        <f>506</f>
        <v>506</v>
      </c>
      <c r="G14" s="25">
        <f>D14-E14-F14+0.0016</f>
        <v>6976.0016</v>
      </c>
      <c r="H14" s="6">
        <f t="shared" si="0"/>
        <v>0.4540130684924374</v>
      </c>
    </row>
    <row r="15" spans="1:8" ht="15">
      <c r="A15" s="32"/>
      <c r="B15" s="21" t="s">
        <v>14</v>
      </c>
      <c r="C15" s="21"/>
      <c r="D15" s="22">
        <f>SUM(D13:D14)</f>
        <v>67397</v>
      </c>
      <c r="E15" s="26">
        <f>SUM(E13:E14)</f>
        <v>52303</v>
      </c>
      <c r="F15" s="26">
        <f>SUM(F13:F14)</f>
        <v>1644</v>
      </c>
      <c r="G15" s="26">
        <f>SUM(G13:G14)</f>
        <v>13449.9997</v>
      </c>
      <c r="H15" s="6">
        <f t="shared" si="0"/>
        <v>0.8753546781037669</v>
      </c>
    </row>
  </sheetData>
  <sheetProtection/>
  <mergeCells count="10">
    <mergeCell ref="A13:A15"/>
    <mergeCell ref="A6:H6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J1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9" sqref="D9"/>
    </sheetView>
  </sheetViews>
  <sheetFormatPr defaultColWidth="9.140625" defaultRowHeight="15"/>
  <cols>
    <col min="1" max="1" width="5.00390625" style="0" customWidth="1"/>
    <col min="2" max="2" width="24.28125" style="0" customWidth="1"/>
    <col min="3" max="3" width="18.140625" style="0" customWidth="1"/>
    <col min="4" max="4" width="15.57421875" style="0" customWidth="1"/>
    <col min="5" max="5" width="16.7109375" style="0" customWidth="1"/>
    <col min="6" max="6" width="15.00390625" style="0" customWidth="1"/>
    <col min="7" max="7" width="12.7109375" style="0" customWidth="1"/>
    <col min="8" max="8" width="12.57421875" style="0" customWidth="1"/>
  </cols>
  <sheetData>
    <row r="5" spans="2:3" ht="20.25" customHeight="1">
      <c r="B5" s="11" t="s">
        <v>53</v>
      </c>
      <c r="C5" s="11"/>
    </row>
    <row r="6" spans="1:8" ht="15" customHeight="1">
      <c r="A6" s="35" t="s">
        <v>8</v>
      </c>
      <c r="B6" s="35"/>
      <c r="C6" s="35"/>
      <c r="D6" s="35"/>
      <c r="E6" s="35"/>
      <c r="F6" s="35"/>
      <c r="G6" s="35"/>
      <c r="H6" s="35"/>
    </row>
    <row r="7" spans="1:8" ht="66.75" customHeight="1">
      <c r="A7" s="28" t="s">
        <v>0</v>
      </c>
      <c r="B7" s="33" t="s">
        <v>1</v>
      </c>
      <c r="C7" s="28" t="s">
        <v>2</v>
      </c>
      <c r="D7" s="28" t="s">
        <v>11</v>
      </c>
      <c r="E7" s="28" t="s">
        <v>3</v>
      </c>
      <c r="F7" s="28" t="s">
        <v>4</v>
      </c>
      <c r="G7" s="28" t="s">
        <v>5</v>
      </c>
      <c r="H7" s="33" t="s">
        <v>6</v>
      </c>
    </row>
    <row r="8" spans="1:10" ht="15.75" customHeight="1">
      <c r="A8" s="29"/>
      <c r="B8" s="34"/>
      <c r="C8" s="29"/>
      <c r="D8" s="29"/>
      <c r="E8" s="29"/>
      <c r="F8" s="29"/>
      <c r="G8" s="29"/>
      <c r="H8" s="34"/>
      <c r="J8" s="8"/>
    </row>
    <row r="9" spans="1:8" ht="15">
      <c r="A9" s="14">
        <v>1</v>
      </c>
      <c r="B9" s="15" t="s">
        <v>29</v>
      </c>
      <c r="C9" s="14"/>
      <c r="D9" s="18">
        <f>98.7</f>
        <v>98.7</v>
      </c>
      <c r="E9" s="18">
        <f>E10*0.0478+0.0036</f>
        <v>61.869706</v>
      </c>
      <c r="F9" s="18">
        <f>0.82+0.22</f>
        <v>1.04</v>
      </c>
      <c r="G9" s="25">
        <f>50.6142*0.0478-0.0001</f>
        <v>2.41925876</v>
      </c>
      <c r="H9" s="6">
        <f>G9/15365.9</f>
        <v>0.00015744334923434357</v>
      </c>
    </row>
    <row r="10" spans="1:8" ht="15">
      <c r="A10" s="2">
        <v>2</v>
      </c>
      <c r="B10" s="3" t="s">
        <v>9</v>
      </c>
      <c r="C10" s="6"/>
      <c r="D10" s="6">
        <f>1115.4</f>
        <v>1115.4</v>
      </c>
      <c r="E10" s="25">
        <f>697.45-116+641.69+71.13</f>
        <v>1294.27</v>
      </c>
      <c r="F10" s="25">
        <f>7.13+1.91</f>
        <v>9.04</v>
      </c>
      <c r="G10" s="25">
        <f>D10-E10-F10+19.4393</f>
        <v>-168.47069999999988</v>
      </c>
      <c r="H10" s="6">
        <f aca="true" t="shared" si="0" ref="H10:H15">G10/15365.9</f>
        <v>-0.010963933124646124</v>
      </c>
    </row>
    <row r="11" spans="1:8" ht="15">
      <c r="A11" s="2">
        <v>3</v>
      </c>
      <c r="B11" s="3" t="s">
        <v>31</v>
      </c>
      <c r="C11" s="5" t="s">
        <v>54</v>
      </c>
      <c r="D11" s="5">
        <f>3021-1378</f>
        <v>1643</v>
      </c>
      <c r="E11" s="25">
        <f>453.96-75.66+975.61+113.93</f>
        <v>1467.84</v>
      </c>
      <c r="F11" s="25">
        <f>24</f>
        <v>24</v>
      </c>
      <c r="G11" s="25">
        <f>50.6142+0.0006</f>
        <v>50.614799999999995</v>
      </c>
      <c r="H11" s="6">
        <f t="shared" si="0"/>
        <v>0.003293969113426483</v>
      </c>
    </row>
    <row r="12" spans="1:8" ht="15">
      <c r="A12" s="2">
        <v>4</v>
      </c>
      <c r="B12" s="3" t="s">
        <v>10</v>
      </c>
      <c r="C12" s="5"/>
      <c r="D12" s="5">
        <f>D10+D11</f>
        <v>2758.4</v>
      </c>
      <c r="E12" s="25">
        <f>682.22+1471.84+127.34+445.33+26.52+8.86</f>
        <v>2762.11</v>
      </c>
      <c r="F12" s="25">
        <f>F10+F11</f>
        <v>33.04</v>
      </c>
      <c r="G12" s="25">
        <v>0</v>
      </c>
      <c r="H12" s="6">
        <f t="shared" si="0"/>
        <v>0</v>
      </c>
    </row>
    <row r="13" spans="1:8" ht="15">
      <c r="A13" s="30">
        <v>5</v>
      </c>
      <c r="B13" s="24" t="s">
        <v>37</v>
      </c>
      <c r="C13" s="5"/>
      <c r="D13" s="20">
        <f>54604</f>
        <v>54604</v>
      </c>
      <c r="E13" s="25">
        <f>31315</f>
        <v>31315</v>
      </c>
      <c r="F13" s="25">
        <f>1157</f>
        <v>1157</v>
      </c>
      <c r="G13" s="25">
        <f>15417.5+0.0001</f>
        <v>15417.5001</v>
      </c>
      <c r="H13" s="6">
        <f t="shared" si="0"/>
        <v>1.003358091618454</v>
      </c>
    </row>
    <row r="14" spans="1:8" ht="15">
      <c r="A14" s="31"/>
      <c r="B14" s="24" t="s">
        <v>38</v>
      </c>
      <c r="C14" s="5"/>
      <c r="D14" s="20">
        <f>19359</f>
        <v>19359</v>
      </c>
      <c r="E14" s="25">
        <f>20041</f>
        <v>20041</v>
      </c>
      <c r="F14" s="25">
        <f>676</f>
        <v>676</v>
      </c>
      <c r="G14" s="25">
        <f>D14-E14-F14+0.0005</f>
        <v>-1357.9995</v>
      </c>
      <c r="H14" s="6">
        <f t="shared" si="0"/>
        <v>-0.088377478702842</v>
      </c>
    </row>
    <row r="15" spans="1:8" ht="15">
      <c r="A15" s="32"/>
      <c r="B15" s="21" t="s">
        <v>14</v>
      </c>
      <c r="C15" s="21"/>
      <c r="D15" s="22">
        <f>SUM(D13:D14)</f>
        <v>73963</v>
      </c>
      <c r="E15" s="26">
        <f>SUM(E13:E14)</f>
        <v>51356</v>
      </c>
      <c r="F15" s="26">
        <f>SUM(F13:F14)</f>
        <v>1833</v>
      </c>
      <c r="G15" s="26">
        <f>SUM(G13:G14)</f>
        <v>14059.5006</v>
      </c>
      <c r="H15" s="6">
        <f t="shared" si="0"/>
        <v>0.9149806129156118</v>
      </c>
    </row>
  </sheetData>
  <sheetProtection/>
  <mergeCells count="10">
    <mergeCell ref="A13:A15"/>
    <mergeCell ref="A6:H6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J15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7" sqref="B7:B8"/>
    </sheetView>
  </sheetViews>
  <sheetFormatPr defaultColWidth="9.140625" defaultRowHeight="15"/>
  <cols>
    <col min="1" max="1" width="5.00390625" style="0" customWidth="1"/>
    <col min="2" max="2" width="24.28125" style="0" customWidth="1"/>
    <col min="3" max="3" width="18.140625" style="0" customWidth="1"/>
    <col min="4" max="4" width="15.57421875" style="0" customWidth="1"/>
    <col min="5" max="5" width="16.7109375" style="0" customWidth="1"/>
    <col min="6" max="6" width="15.00390625" style="0" customWidth="1"/>
    <col min="7" max="7" width="12.7109375" style="0" customWidth="1"/>
    <col min="8" max="8" width="12.57421875" style="0" customWidth="1"/>
  </cols>
  <sheetData>
    <row r="5" spans="2:3" ht="20.25" customHeight="1">
      <c r="B5" s="11" t="s">
        <v>55</v>
      </c>
      <c r="C5" s="11"/>
    </row>
    <row r="6" spans="1:8" ht="15" customHeight="1">
      <c r="A6" s="35" t="s">
        <v>8</v>
      </c>
      <c r="B6" s="35"/>
      <c r="C6" s="35"/>
      <c r="D6" s="35"/>
      <c r="E6" s="35"/>
      <c r="F6" s="35"/>
      <c r="G6" s="35"/>
      <c r="H6" s="35"/>
    </row>
    <row r="7" spans="1:8" ht="66.75" customHeight="1">
      <c r="A7" s="28" t="s">
        <v>0</v>
      </c>
      <c r="B7" s="33" t="s">
        <v>1</v>
      </c>
      <c r="C7" s="28" t="s">
        <v>2</v>
      </c>
      <c r="D7" s="28" t="s">
        <v>11</v>
      </c>
      <c r="E7" s="28" t="s">
        <v>3</v>
      </c>
      <c r="F7" s="28" t="s">
        <v>4</v>
      </c>
      <c r="G7" s="28" t="s">
        <v>5</v>
      </c>
      <c r="H7" s="33" t="s">
        <v>6</v>
      </c>
    </row>
    <row r="8" spans="1:10" ht="15.75" customHeight="1">
      <c r="A8" s="29"/>
      <c r="B8" s="34"/>
      <c r="C8" s="29"/>
      <c r="D8" s="29"/>
      <c r="E8" s="29"/>
      <c r="F8" s="29"/>
      <c r="G8" s="29"/>
      <c r="H8" s="34"/>
      <c r="J8" s="8"/>
    </row>
    <row r="9" spans="1:8" ht="15">
      <c r="A9" s="14">
        <v>1</v>
      </c>
      <c r="B9" s="15" t="s">
        <v>29</v>
      </c>
      <c r="C9" s="14"/>
      <c r="D9" s="18">
        <f>96.7</f>
        <v>96.7</v>
      </c>
      <c r="E9" s="18">
        <f>E10*0.0478+0.0047</f>
        <v>63.972572</v>
      </c>
      <c r="F9" s="18">
        <f>0.81+0.22</f>
        <v>1.03</v>
      </c>
      <c r="G9" s="25">
        <f>G10*0.0478-0.0003</f>
        <v>2.4190683199999996</v>
      </c>
      <c r="H9" s="6">
        <f>G9/15364</f>
        <v>0.00015745042436865397</v>
      </c>
    </row>
    <row r="10" spans="1:8" ht="15">
      <c r="A10" s="2">
        <v>2</v>
      </c>
      <c r="B10" s="3" t="s">
        <v>9</v>
      </c>
      <c r="C10" s="6"/>
      <c r="D10" s="6">
        <f>1400.8</f>
        <v>1400.8</v>
      </c>
      <c r="E10" s="25">
        <f>987.36-281.6+599.81+32.67</f>
        <v>1338.24</v>
      </c>
      <c r="F10" s="25">
        <f>8.95+2.4</f>
        <v>11.35</v>
      </c>
      <c r="G10" s="25">
        <f>50.6142+0.0002</f>
        <v>50.614399999999996</v>
      </c>
      <c r="H10" s="6">
        <f aca="true" t="shared" si="0" ref="H10:H15">G10/15364</f>
        <v>0.0032943504295756313</v>
      </c>
    </row>
    <row r="11" spans="1:8" ht="15">
      <c r="A11" s="2">
        <v>3</v>
      </c>
      <c r="B11" s="3" t="s">
        <v>31</v>
      </c>
      <c r="C11" s="5" t="s">
        <v>56</v>
      </c>
      <c r="D11" s="5">
        <f>4718-3021</f>
        <v>1697</v>
      </c>
      <c r="E11" s="25">
        <f>543.2-155.2+971.38+30.3</f>
        <v>1389.68</v>
      </c>
      <c r="F11" s="25">
        <f>23</f>
        <v>23</v>
      </c>
      <c r="G11" s="25">
        <f>50.6142+0.0002</f>
        <v>50.614399999999996</v>
      </c>
      <c r="H11" s="6">
        <f t="shared" si="0"/>
        <v>0.0032943504295756313</v>
      </c>
    </row>
    <row r="12" spans="1:8" ht="15">
      <c r="A12" s="2">
        <v>4</v>
      </c>
      <c r="B12" s="3" t="s">
        <v>10</v>
      </c>
      <c r="C12" s="5"/>
      <c r="D12" s="5">
        <f>D10+D11</f>
        <v>3097.8</v>
      </c>
      <c r="E12" s="25">
        <f>699.94+1190.22+152.71+633.57+41.02+8.86+1.6</f>
        <v>2727.92</v>
      </c>
      <c r="F12" s="25">
        <f>F10+F11</f>
        <v>34.35</v>
      </c>
      <c r="G12" s="25">
        <v>0</v>
      </c>
      <c r="H12" s="6">
        <f t="shared" si="0"/>
        <v>0</v>
      </c>
    </row>
    <row r="13" spans="1:8" ht="15">
      <c r="A13" s="30">
        <v>5</v>
      </c>
      <c r="B13" s="24" t="s">
        <v>37</v>
      </c>
      <c r="C13" s="5"/>
      <c r="D13" s="20">
        <f>37254</f>
        <v>37254</v>
      </c>
      <c r="E13" s="27">
        <f>30700-29149</f>
        <v>1551</v>
      </c>
      <c r="F13" s="25">
        <v>1045</v>
      </c>
      <c r="G13" s="25">
        <f>D13-E13-F13+0.0002</f>
        <v>34658.0002</v>
      </c>
      <c r="H13" s="6">
        <f t="shared" si="0"/>
        <v>2.2557927753189273</v>
      </c>
    </row>
    <row r="14" spans="1:8" ht="15">
      <c r="A14" s="31"/>
      <c r="B14" s="24" t="s">
        <v>38</v>
      </c>
      <c r="C14" s="5"/>
      <c r="D14" s="20">
        <f>12900</f>
        <v>12900</v>
      </c>
      <c r="E14" s="27">
        <f>40024</f>
        <v>40024</v>
      </c>
      <c r="F14" s="25">
        <f>503</f>
        <v>503</v>
      </c>
      <c r="G14" s="25">
        <f>D14-E14-F14-0.0004</f>
        <v>-27627.0004</v>
      </c>
      <c r="H14" s="6">
        <f t="shared" si="0"/>
        <v>-1.7981645665191357</v>
      </c>
    </row>
    <row r="15" spans="1:8" ht="15">
      <c r="A15" s="32"/>
      <c r="B15" s="21" t="s">
        <v>14</v>
      </c>
      <c r="C15" s="21"/>
      <c r="D15" s="22">
        <f>SUM(D13:D14)</f>
        <v>50154</v>
      </c>
      <c r="E15" s="26">
        <f>SUM(E13:E14)</f>
        <v>41575</v>
      </c>
      <c r="F15" s="26">
        <f>SUM(F13:F14)</f>
        <v>1548</v>
      </c>
      <c r="G15" s="26">
        <f>SUM(G13:G14)</f>
        <v>7030.999800000001</v>
      </c>
      <c r="H15" s="6">
        <f t="shared" si="0"/>
        <v>0.4576282087997918</v>
      </c>
    </row>
  </sheetData>
  <sheetProtection/>
  <mergeCells count="10">
    <mergeCell ref="A13:A15"/>
    <mergeCell ref="A6:H6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5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4" sqref="A4:J4"/>
    </sheetView>
  </sheetViews>
  <sheetFormatPr defaultColWidth="9.140625" defaultRowHeight="15"/>
  <cols>
    <col min="1" max="1" width="5.00390625" style="0" customWidth="1"/>
    <col min="2" max="2" width="24.28125" style="0" customWidth="1"/>
    <col min="3" max="3" width="18.140625" style="0" customWidth="1"/>
    <col min="4" max="4" width="17.00390625" style="0" customWidth="1"/>
    <col min="5" max="5" width="16.140625" style="0" customWidth="1"/>
    <col min="6" max="6" width="15.57421875" style="0" customWidth="1"/>
    <col min="7" max="7" width="16.7109375" style="0" customWidth="1"/>
    <col min="8" max="8" width="15.00390625" style="0" customWidth="1"/>
    <col min="9" max="9" width="12.7109375" style="0" customWidth="1"/>
    <col min="10" max="10" width="12.57421875" style="0" customWidth="1"/>
  </cols>
  <sheetData>
    <row r="3" ht="15.75">
      <c r="C3" s="11" t="s">
        <v>33</v>
      </c>
    </row>
    <row r="4" spans="1:10" ht="15">
      <c r="A4" s="35" t="s">
        <v>8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72.75" customHeight="1">
      <c r="A5" s="28" t="s">
        <v>0</v>
      </c>
      <c r="B5" s="33" t="s">
        <v>1</v>
      </c>
      <c r="C5" s="28" t="s">
        <v>2</v>
      </c>
      <c r="D5" s="36" t="s">
        <v>7</v>
      </c>
      <c r="E5" s="37"/>
      <c r="F5" s="28" t="s">
        <v>11</v>
      </c>
      <c r="G5" s="28" t="s">
        <v>3</v>
      </c>
      <c r="H5" s="28" t="s">
        <v>4</v>
      </c>
      <c r="I5" s="28" t="s">
        <v>5</v>
      </c>
      <c r="J5" s="33" t="s">
        <v>6</v>
      </c>
    </row>
    <row r="6" spans="1:10" ht="15.75">
      <c r="A6" s="29"/>
      <c r="B6" s="34"/>
      <c r="C6" s="29"/>
      <c r="D6" s="12" t="s">
        <v>12</v>
      </c>
      <c r="E6" s="13" t="s">
        <v>13</v>
      </c>
      <c r="F6" s="29"/>
      <c r="G6" s="29"/>
      <c r="H6" s="29"/>
      <c r="I6" s="29"/>
      <c r="J6" s="34"/>
    </row>
    <row r="7" spans="1:10" ht="15">
      <c r="A7" s="14">
        <v>1</v>
      </c>
      <c r="B7" s="15" t="s">
        <v>29</v>
      </c>
      <c r="C7" s="14"/>
      <c r="D7" s="16"/>
      <c r="E7" s="17"/>
      <c r="F7" s="14">
        <f>104.71+0.3+0.3</f>
        <v>105.30999999999999</v>
      </c>
      <c r="G7" s="18">
        <f>G8*0.0478</f>
        <v>62.02447696</v>
      </c>
      <c r="H7" s="18">
        <f>0.3+0.3</f>
        <v>0.6</v>
      </c>
      <c r="I7" s="5">
        <f>46.0242*0.0478</f>
        <v>2.19995676</v>
      </c>
      <c r="J7" s="6">
        <f>I7/15173.2</f>
        <v>0.00014498963699153771</v>
      </c>
    </row>
    <row r="8" spans="1:12" ht="15">
      <c r="A8" s="2">
        <v>2</v>
      </c>
      <c r="B8" s="3" t="s">
        <v>9</v>
      </c>
      <c r="C8" s="6"/>
      <c r="D8" s="4"/>
      <c r="E8" s="4"/>
      <c r="F8" s="6">
        <f>1050.05+3.13+3.13</f>
        <v>1056.3100000000002</v>
      </c>
      <c r="G8" s="5">
        <f>424.4132+805.05+68.12</f>
        <v>1297.5832</v>
      </c>
      <c r="H8" s="5">
        <f>3.13+3.13</f>
        <v>6.26</v>
      </c>
      <c r="I8" s="5">
        <f>F8-G8-H8</f>
        <v>-247.53319999999985</v>
      </c>
      <c r="J8" s="6">
        <f aca="true" t="shared" si="0" ref="J8:J25">I8/15173.2</f>
        <v>-0.01631384282814435</v>
      </c>
      <c r="L8" s="8"/>
    </row>
    <row r="9" spans="1:10" ht="15">
      <c r="A9" s="2">
        <v>3</v>
      </c>
      <c r="B9" s="3" t="s">
        <v>31</v>
      </c>
      <c r="C9" s="5" t="s">
        <v>34</v>
      </c>
      <c r="D9" s="4"/>
      <c r="E9" s="4"/>
      <c r="F9" s="5">
        <f>88871-87029</f>
        <v>1842</v>
      </c>
      <c r="G9" s="5">
        <f>426.6435+1093.033+178.54</f>
        <v>1698.2165</v>
      </c>
      <c r="H9" s="5">
        <f>11</f>
        <v>11</v>
      </c>
      <c r="I9" s="5">
        <f>46.0242</f>
        <v>46.0242</v>
      </c>
      <c r="J9" s="6">
        <f t="shared" si="0"/>
        <v>0.003033256004007065</v>
      </c>
    </row>
    <row r="10" spans="1:10" ht="15">
      <c r="A10" s="2">
        <v>4</v>
      </c>
      <c r="B10" s="3" t="s">
        <v>10</v>
      </c>
      <c r="C10" s="5"/>
      <c r="D10" s="4"/>
      <c r="E10" s="4"/>
      <c r="F10" s="5">
        <f>F8+F9</f>
        <v>2898.3100000000004</v>
      </c>
      <c r="G10" s="5">
        <f>726.2342+1835.543+205.2+207.5013+10.0613+54.22</f>
        <v>3038.7597999999994</v>
      </c>
      <c r="H10" s="5">
        <f>H8+H9</f>
        <v>17.259999999999998</v>
      </c>
      <c r="I10" s="5">
        <v>0</v>
      </c>
      <c r="J10" s="6">
        <f t="shared" si="0"/>
        <v>0</v>
      </c>
    </row>
    <row r="11" spans="1:10" ht="15">
      <c r="A11" s="30">
        <v>5</v>
      </c>
      <c r="B11" s="3" t="s">
        <v>15</v>
      </c>
      <c r="C11" s="5"/>
      <c r="D11" s="9">
        <v>107704</v>
      </c>
      <c r="E11" s="9">
        <v>108553</v>
      </c>
      <c r="F11" s="20">
        <f>(E11-D11)*1*105%-0.45</f>
        <v>891</v>
      </c>
      <c r="G11" s="5">
        <v>0</v>
      </c>
      <c r="H11" s="5">
        <v>0</v>
      </c>
      <c r="I11" s="5">
        <f aca="true" t="shared" si="1" ref="I11:I22">F11-G11-H11</f>
        <v>891</v>
      </c>
      <c r="J11" s="6">
        <f t="shared" si="0"/>
        <v>0.05872195713494846</v>
      </c>
    </row>
    <row r="12" spans="1:10" ht="15">
      <c r="A12" s="31"/>
      <c r="B12" s="3" t="s">
        <v>16</v>
      </c>
      <c r="C12" s="5"/>
      <c r="D12" s="9">
        <v>166602</v>
      </c>
      <c r="E12" s="9">
        <v>167854</v>
      </c>
      <c r="F12" s="20">
        <f>(E12-D12)*1*105%+0.4</f>
        <v>1315.0000000000002</v>
      </c>
      <c r="G12" s="5">
        <v>0</v>
      </c>
      <c r="H12" s="5">
        <v>0</v>
      </c>
      <c r="I12" s="5">
        <f t="shared" si="1"/>
        <v>1315.0000000000002</v>
      </c>
      <c r="J12" s="6">
        <f t="shared" si="0"/>
        <v>0.08666596367279152</v>
      </c>
    </row>
    <row r="13" spans="1:10" ht="15">
      <c r="A13" s="31"/>
      <c r="B13" s="3" t="s">
        <v>17</v>
      </c>
      <c r="C13" s="5"/>
      <c r="D13" s="9">
        <v>173382</v>
      </c>
      <c r="E13" s="9">
        <v>175691</v>
      </c>
      <c r="F13" s="20">
        <f>(E13-D13)*1*105%+0.55</f>
        <v>2425.0000000000005</v>
      </c>
      <c r="G13" s="5">
        <v>0</v>
      </c>
      <c r="H13" s="5">
        <v>0</v>
      </c>
      <c r="I13" s="5">
        <f t="shared" si="1"/>
        <v>2425.0000000000005</v>
      </c>
      <c r="J13" s="6">
        <f t="shared" si="0"/>
        <v>0.1598212638072391</v>
      </c>
    </row>
    <row r="14" spans="1:10" ht="15">
      <c r="A14" s="31"/>
      <c r="B14" s="3" t="s">
        <v>18</v>
      </c>
      <c r="C14" s="5"/>
      <c r="D14" s="9">
        <v>165847</v>
      </c>
      <c r="E14" s="9">
        <v>167971</v>
      </c>
      <c r="F14" s="20">
        <f>(E14-D14)*1*105%-0.2</f>
        <v>2230.0000000000005</v>
      </c>
      <c r="G14" s="5">
        <v>0</v>
      </c>
      <c r="H14" s="5">
        <v>0</v>
      </c>
      <c r="I14" s="5">
        <f t="shared" si="1"/>
        <v>2230.0000000000005</v>
      </c>
      <c r="J14" s="6">
        <f t="shared" si="0"/>
        <v>0.14696965702686318</v>
      </c>
    </row>
    <row r="15" spans="1:10" ht="15">
      <c r="A15" s="31"/>
      <c r="B15" s="3" t="s">
        <v>19</v>
      </c>
      <c r="C15" s="5"/>
      <c r="D15" s="9">
        <v>71724</v>
      </c>
      <c r="E15" s="9">
        <v>72467</v>
      </c>
      <c r="F15" s="20">
        <f>(E15-D15)*1</f>
        <v>743</v>
      </c>
      <c r="G15" s="5">
        <v>0</v>
      </c>
      <c r="H15" s="5">
        <v>0</v>
      </c>
      <c r="I15" s="5">
        <f t="shared" si="1"/>
        <v>743</v>
      </c>
      <c r="J15" s="6">
        <f t="shared" si="0"/>
        <v>0.048967917117022114</v>
      </c>
    </row>
    <row r="16" spans="1:10" ht="15">
      <c r="A16" s="31"/>
      <c r="B16" s="3" t="s">
        <v>20</v>
      </c>
      <c r="C16" s="5"/>
      <c r="D16" s="9">
        <v>89014</v>
      </c>
      <c r="E16" s="9">
        <v>89757</v>
      </c>
      <c r="F16" s="20">
        <f>(E16-D16)*1</f>
        <v>743</v>
      </c>
      <c r="G16" s="5">
        <v>0</v>
      </c>
      <c r="H16" s="5">
        <v>0</v>
      </c>
      <c r="I16" s="5">
        <f t="shared" si="1"/>
        <v>743</v>
      </c>
      <c r="J16" s="6">
        <f t="shared" si="0"/>
        <v>0.048967917117022114</v>
      </c>
    </row>
    <row r="17" spans="1:10" ht="15">
      <c r="A17" s="31"/>
      <c r="B17" s="3" t="s">
        <v>21</v>
      </c>
      <c r="C17" s="5"/>
      <c r="D17" s="9">
        <v>2964</v>
      </c>
      <c r="E17" s="9">
        <v>2995</v>
      </c>
      <c r="F17" s="20">
        <f>(E17-D17)*30</f>
        <v>930</v>
      </c>
      <c r="G17" s="5">
        <v>0</v>
      </c>
      <c r="H17" s="5">
        <v>0</v>
      </c>
      <c r="I17" s="5">
        <f t="shared" si="1"/>
        <v>930</v>
      </c>
      <c r="J17" s="6">
        <f t="shared" si="0"/>
        <v>0.061292278491023644</v>
      </c>
    </row>
    <row r="18" spans="1:10" ht="15">
      <c r="A18" s="31"/>
      <c r="B18" s="3" t="s">
        <v>22</v>
      </c>
      <c r="C18" s="5"/>
      <c r="D18" s="9">
        <v>2922</v>
      </c>
      <c r="E18" s="9">
        <v>2952</v>
      </c>
      <c r="F18" s="20">
        <f>(E18-D18)*30</f>
        <v>900</v>
      </c>
      <c r="G18" s="5">
        <v>0</v>
      </c>
      <c r="H18" s="5">
        <v>0</v>
      </c>
      <c r="I18" s="5">
        <f t="shared" si="1"/>
        <v>900</v>
      </c>
      <c r="J18" s="6">
        <f t="shared" si="0"/>
        <v>0.059315108217119654</v>
      </c>
    </row>
    <row r="19" spans="1:10" ht="15">
      <c r="A19" s="31"/>
      <c r="B19" s="3" t="s">
        <v>23</v>
      </c>
      <c r="C19" s="5"/>
      <c r="D19" s="9">
        <v>45471</v>
      </c>
      <c r="E19" s="9">
        <v>45819</v>
      </c>
      <c r="F19" s="20">
        <f>(E19-D19)*1*100.17%-0.591+128</f>
        <v>476.0006</v>
      </c>
      <c r="G19" s="5">
        <v>0</v>
      </c>
      <c r="H19" s="5">
        <v>0</v>
      </c>
      <c r="I19" s="5">
        <f t="shared" si="1"/>
        <v>476.0006</v>
      </c>
      <c r="J19" s="6">
        <f t="shared" si="0"/>
        <v>0.0313711412226821</v>
      </c>
    </row>
    <row r="20" spans="1:10" ht="15">
      <c r="A20" s="31"/>
      <c r="B20" s="3" t="s">
        <v>24</v>
      </c>
      <c r="C20" s="5"/>
      <c r="D20" s="9">
        <v>56050</v>
      </c>
      <c r="E20" s="9">
        <v>56511</v>
      </c>
      <c r="F20" s="20">
        <f>(E20-D20)*1*100.17%+0.22+112</f>
        <v>574.0037</v>
      </c>
      <c r="G20" s="5">
        <v>0</v>
      </c>
      <c r="H20" s="5">
        <v>0</v>
      </c>
      <c r="I20" s="5">
        <f t="shared" si="1"/>
        <v>574.0037</v>
      </c>
      <c r="J20" s="6">
        <f t="shared" si="0"/>
        <v>0.037830101758363426</v>
      </c>
    </row>
    <row r="21" spans="1:10" ht="15">
      <c r="A21" s="31"/>
      <c r="B21" s="3" t="s">
        <v>25</v>
      </c>
      <c r="C21" s="5"/>
      <c r="D21" s="9">
        <v>75380</v>
      </c>
      <c r="E21" s="9">
        <v>76417</v>
      </c>
      <c r="F21" s="20">
        <f>(E21-D21)*1*100.25%+0.407</f>
        <v>1039.9995</v>
      </c>
      <c r="G21" s="5">
        <v>0</v>
      </c>
      <c r="H21" s="5">
        <v>0</v>
      </c>
      <c r="I21" s="5">
        <f t="shared" si="1"/>
        <v>1039.9995</v>
      </c>
      <c r="J21" s="6">
        <f t="shared" si="0"/>
        <v>0.0685418698758337</v>
      </c>
    </row>
    <row r="22" spans="1:10" ht="15">
      <c r="A22" s="31"/>
      <c r="B22" s="3" t="s">
        <v>26</v>
      </c>
      <c r="C22" s="5"/>
      <c r="D22" s="9">
        <v>84219</v>
      </c>
      <c r="E22" s="9">
        <v>85377</v>
      </c>
      <c r="F22" s="20">
        <f>(E22-D22)*1*100.25%+0.1</f>
        <v>1160.995</v>
      </c>
      <c r="G22" s="5">
        <v>0</v>
      </c>
      <c r="H22" s="5">
        <v>0</v>
      </c>
      <c r="I22" s="5">
        <f t="shared" si="1"/>
        <v>1160.995</v>
      </c>
      <c r="J22" s="6">
        <f t="shared" si="0"/>
        <v>0.07651616007170536</v>
      </c>
    </row>
    <row r="23" spans="1:10" ht="15">
      <c r="A23" s="32"/>
      <c r="B23" s="21" t="s">
        <v>14</v>
      </c>
      <c r="C23" s="21"/>
      <c r="D23" s="7"/>
      <c r="E23" s="21"/>
      <c r="F23" s="22">
        <f>SUM(F11:F22)</f>
        <v>13427.998799999998</v>
      </c>
      <c r="G23" s="22">
        <f>SUM(G11:G22)</f>
        <v>0</v>
      </c>
      <c r="H23" s="22">
        <f>SUM(H11:H22)</f>
        <v>0</v>
      </c>
      <c r="I23" s="22">
        <f>SUM(I11:I22)</f>
        <v>13427.998799999998</v>
      </c>
      <c r="J23" s="6">
        <f t="shared" si="0"/>
        <v>0.8849813355126142</v>
      </c>
    </row>
    <row r="24" spans="1:10" ht="15">
      <c r="A24" s="1"/>
      <c r="B24" s="1"/>
      <c r="C24" s="1"/>
      <c r="D24" s="1"/>
      <c r="E24" s="1" t="s">
        <v>28</v>
      </c>
      <c r="F24" s="10">
        <f aca="true" t="shared" si="2" ref="F24:I25">F11+F13+F15+F17+F19+F21</f>
        <v>6505.0001</v>
      </c>
      <c r="G24" s="10">
        <f t="shared" si="2"/>
        <v>0</v>
      </c>
      <c r="H24" s="10">
        <f t="shared" si="2"/>
        <v>0</v>
      </c>
      <c r="I24" s="10">
        <f t="shared" si="2"/>
        <v>6505.0001</v>
      </c>
      <c r="J24" s="6">
        <f t="shared" si="0"/>
        <v>0.4287164276487491</v>
      </c>
    </row>
    <row r="25" spans="1:10" ht="15">
      <c r="A25" s="1"/>
      <c r="B25" s="1"/>
      <c r="C25" s="1"/>
      <c r="D25" s="1"/>
      <c r="E25" s="1" t="s">
        <v>27</v>
      </c>
      <c r="F25" s="10">
        <f t="shared" si="2"/>
        <v>6922.998700000001</v>
      </c>
      <c r="G25" s="10">
        <f t="shared" si="2"/>
        <v>0</v>
      </c>
      <c r="H25" s="10">
        <f t="shared" si="2"/>
        <v>0</v>
      </c>
      <c r="I25" s="10">
        <f t="shared" si="2"/>
        <v>6922.998700000001</v>
      </c>
      <c r="J25" s="6">
        <f t="shared" si="0"/>
        <v>0.45626490786386525</v>
      </c>
    </row>
  </sheetData>
  <sheetProtection/>
  <mergeCells count="11">
    <mergeCell ref="A11:A23"/>
    <mergeCell ref="I5:I6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1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7" sqref="B7:B8"/>
    </sheetView>
  </sheetViews>
  <sheetFormatPr defaultColWidth="9.140625" defaultRowHeight="15"/>
  <cols>
    <col min="1" max="1" width="5.00390625" style="0" customWidth="1"/>
    <col min="2" max="2" width="24.28125" style="0" customWidth="1"/>
    <col min="3" max="3" width="18.140625" style="0" customWidth="1"/>
    <col min="4" max="4" width="15.57421875" style="0" customWidth="1"/>
    <col min="5" max="5" width="16.7109375" style="0" customWidth="1"/>
    <col min="6" max="6" width="15.00390625" style="0" customWidth="1"/>
    <col min="7" max="7" width="12.7109375" style="0" customWidth="1"/>
    <col min="8" max="8" width="12.57421875" style="0" customWidth="1"/>
  </cols>
  <sheetData>
    <row r="5" spans="2:3" ht="20.25" customHeight="1">
      <c r="B5" s="11" t="s">
        <v>35</v>
      </c>
      <c r="C5" s="11"/>
    </row>
    <row r="6" spans="1:8" ht="15" customHeight="1">
      <c r="A6" s="35" t="s">
        <v>8</v>
      </c>
      <c r="B6" s="35"/>
      <c r="C6" s="35"/>
      <c r="D6" s="35"/>
      <c r="E6" s="35"/>
      <c r="F6" s="35"/>
      <c r="G6" s="35"/>
      <c r="H6" s="35"/>
    </row>
    <row r="7" spans="1:8" ht="66.75" customHeight="1">
      <c r="A7" s="28" t="s">
        <v>0</v>
      </c>
      <c r="B7" s="33" t="s">
        <v>1</v>
      </c>
      <c r="C7" s="28" t="s">
        <v>2</v>
      </c>
      <c r="D7" s="28" t="s">
        <v>11</v>
      </c>
      <c r="E7" s="28" t="s">
        <v>3</v>
      </c>
      <c r="F7" s="28" t="s">
        <v>4</v>
      </c>
      <c r="G7" s="28" t="s">
        <v>5</v>
      </c>
      <c r="H7" s="33" t="s">
        <v>6</v>
      </c>
    </row>
    <row r="8" spans="1:10" ht="15.75" customHeight="1">
      <c r="A8" s="29"/>
      <c r="B8" s="34"/>
      <c r="C8" s="29"/>
      <c r="D8" s="29"/>
      <c r="E8" s="29"/>
      <c r="F8" s="29"/>
      <c r="G8" s="29"/>
      <c r="H8" s="34"/>
      <c r="J8" s="8"/>
    </row>
    <row r="9" spans="1:8" ht="15">
      <c r="A9" s="14">
        <v>1</v>
      </c>
      <c r="B9" s="15" t="s">
        <v>29</v>
      </c>
      <c r="C9" s="14"/>
      <c r="D9" s="14">
        <f>113.73+0.34+0.34</f>
        <v>114.41000000000001</v>
      </c>
      <c r="E9" s="18">
        <f>E10*0.0478</f>
        <v>56.2090716</v>
      </c>
      <c r="F9" s="18">
        <f>0.34+0.34</f>
        <v>0.68</v>
      </c>
      <c r="G9" s="5">
        <f>50.6142*0.0478</f>
        <v>2.41935876</v>
      </c>
      <c r="H9" s="6">
        <f>G9/15173.2</f>
        <v>0.00015944947407270715</v>
      </c>
    </row>
    <row r="10" spans="1:8" ht="15">
      <c r="A10" s="2">
        <v>2</v>
      </c>
      <c r="B10" s="3" t="s">
        <v>9</v>
      </c>
      <c r="C10" s="6"/>
      <c r="D10" s="6">
        <f>1180.86+3.66+3.66</f>
        <v>1188.18</v>
      </c>
      <c r="E10" s="5">
        <f>389.772+748.44+37.71</f>
        <v>1175.922</v>
      </c>
      <c r="F10" s="5">
        <f>3.66+3.66</f>
        <v>7.32</v>
      </c>
      <c r="G10" s="5">
        <f>D10-E10-F10</f>
        <v>4.938000000000038</v>
      </c>
      <c r="H10" s="6">
        <f aca="true" t="shared" si="0" ref="H10:H15">G10/15173.2</f>
        <v>0.000325442227084599</v>
      </c>
    </row>
    <row r="11" spans="1:8" ht="15">
      <c r="A11" s="2">
        <v>3</v>
      </c>
      <c r="B11" s="3" t="s">
        <v>31</v>
      </c>
      <c r="C11" s="5" t="s">
        <v>36</v>
      </c>
      <c r="D11" s="5">
        <f>90450-88871</f>
        <v>1579</v>
      </c>
      <c r="E11" s="5">
        <f>409.825+829.8+83.26</f>
        <v>1322.885</v>
      </c>
      <c r="F11" s="5">
        <f>19</f>
        <v>19</v>
      </c>
      <c r="G11" s="5">
        <f>50.6142</f>
        <v>50.6142</v>
      </c>
      <c r="H11" s="6">
        <f t="shared" si="0"/>
        <v>0.003335763055914375</v>
      </c>
    </row>
    <row r="12" spans="1:8" ht="15">
      <c r="A12" s="2">
        <v>4</v>
      </c>
      <c r="B12" s="3" t="s">
        <v>10</v>
      </c>
      <c r="C12" s="5"/>
      <c r="D12" s="5">
        <f>D10+D11</f>
        <v>2767.1800000000003</v>
      </c>
      <c r="E12" s="5">
        <f>708.8+1515.48+90.71+145.012+7.3+56.355</f>
        <v>2523.657</v>
      </c>
      <c r="F12" s="5">
        <f>F10+F11</f>
        <v>26.32</v>
      </c>
      <c r="G12" s="5">
        <v>0</v>
      </c>
      <c r="H12" s="6">
        <f t="shared" si="0"/>
        <v>0</v>
      </c>
    </row>
    <row r="13" spans="1:8" ht="15">
      <c r="A13" s="30">
        <v>5</v>
      </c>
      <c r="B13" s="23" t="s">
        <v>37</v>
      </c>
      <c r="C13" s="5"/>
      <c r="D13" s="20">
        <v>40573</v>
      </c>
      <c r="E13" s="5">
        <v>30916</v>
      </c>
      <c r="F13" s="5">
        <v>296</v>
      </c>
      <c r="G13" s="5">
        <f>D13-E13-F13</f>
        <v>9361</v>
      </c>
      <c r="H13" s="6">
        <f t="shared" si="0"/>
        <v>0.6169430311338412</v>
      </c>
    </row>
    <row r="14" spans="1:8" ht="15">
      <c r="A14" s="31"/>
      <c r="B14" s="23" t="s">
        <v>38</v>
      </c>
      <c r="C14" s="5"/>
      <c r="D14" s="20">
        <v>36900</v>
      </c>
      <c r="E14" s="5">
        <v>18296.7</v>
      </c>
      <c r="F14" s="5">
        <v>505</v>
      </c>
      <c r="G14" s="5">
        <f>4511.6211+186.8786</f>
        <v>4698.4997</v>
      </c>
      <c r="H14" s="6">
        <f t="shared" si="0"/>
        <v>0.3096577979595603</v>
      </c>
    </row>
    <row r="15" spans="1:8" ht="15">
      <c r="A15" s="32"/>
      <c r="B15" s="21" t="s">
        <v>14</v>
      </c>
      <c r="C15" s="21"/>
      <c r="D15" s="22">
        <f>SUM(D13:D14)</f>
        <v>77473</v>
      </c>
      <c r="E15" s="22">
        <f>SUM(E13:E14)</f>
        <v>49212.7</v>
      </c>
      <c r="F15" s="22">
        <f>SUM(F13:F14)</f>
        <v>801</v>
      </c>
      <c r="G15" s="22">
        <f>SUM(G13:G14)</f>
        <v>14059.4997</v>
      </c>
      <c r="H15" s="6">
        <f t="shared" si="0"/>
        <v>0.9266008290934015</v>
      </c>
    </row>
  </sheetData>
  <sheetProtection/>
  <mergeCells count="10">
    <mergeCell ref="A13:A15"/>
    <mergeCell ref="A6:H6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J1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12" sqref="D12"/>
    </sheetView>
  </sheetViews>
  <sheetFormatPr defaultColWidth="9.140625" defaultRowHeight="15"/>
  <cols>
    <col min="1" max="1" width="5.00390625" style="0" customWidth="1"/>
    <col min="2" max="2" width="24.28125" style="0" customWidth="1"/>
    <col min="3" max="3" width="18.140625" style="0" customWidth="1"/>
    <col min="4" max="4" width="15.57421875" style="0" customWidth="1"/>
    <col min="5" max="5" width="16.7109375" style="0" customWidth="1"/>
    <col min="6" max="6" width="15.00390625" style="0" customWidth="1"/>
    <col min="7" max="7" width="12.7109375" style="0" customWidth="1"/>
    <col min="8" max="8" width="12.57421875" style="0" customWidth="1"/>
  </cols>
  <sheetData>
    <row r="5" spans="2:3" ht="20.25" customHeight="1">
      <c r="B5" s="11" t="s">
        <v>39</v>
      </c>
      <c r="C5" s="11"/>
    </row>
    <row r="6" spans="1:8" ht="15" customHeight="1">
      <c r="A6" s="35" t="s">
        <v>8</v>
      </c>
      <c r="B6" s="35"/>
      <c r="C6" s="35"/>
      <c r="D6" s="35"/>
      <c r="E6" s="35"/>
      <c r="F6" s="35"/>
      <c r="G6" s="35"/>
      <c r="H6" s="35"/>
    </row>
    <row r="7" spans="1:8" ht="66.75" customHeight="1">
      <c r="A7" s="28" t="s">
        <v>0</v>
      </c>
      <c r="B7" s="33" t="s">
        <v>1</v>
      </c>
      <c r="C7" s="28" t="s">
        <v>2</v>
      </c>
      <c r="D7" s="28" t="s">
        <v>11</v>
      </c>
      <c r="E7" s="28" t="s">
        <v>3</v>
      </c>
      <c r="F7" s="28" t="s">
        <v>4</v>
      </c>
      <c r="G7" s="28" t="s">
        <v>5</v>
      </c>
      <c r="H7" s="33" t="s">
        <v>6</v>
      </c>
    </row>
    <row r="8" spans="1:10" ht="15.75" customHeight="1">
      <c r="A8" s="29"/>
      <c r="B8" s="34"/>
      <c r="C8" s="29"/>
      <c r="D8" s="29"/>
      <c r="E8" s="29"/>
      <c r="F8" s="29"/>
      <c r="G8" s="29"/>
      <c r="H8" s="34"/>
      <c r="J8" s="8"/>
    </row>
    <row r="9" spans="1:8" ht="15">
      <c r="A9" s="14">
        <v>1</v>
      </c>
      <c r="B9" s="15" t="s">
        <v>29</v>
      </c>
      <c r="C9" s="14"/>
      <c r="D9" s="14">
        <f>99.41</f>
        <v>99.41</v>
      </c>
      <c r="E9" s="18">
        <f>E10*0.0478</f>
        <v>61.191523720000006</v>
      </c>
      <c r="F9" s="18">
        <f>0.29+0.29</f>
        <v>0.58</v>
      </c>
      <c r="G9" s="5">
        <f>50.6142*0.0478</f>
        <v>2.41935876</v>
      </c>
      <c r="H9" s="6">
        <f>G9/15369.5</f>
        <v>0.00015741297765054166</v>
      </c>
    </row>
    <row r="10" spans="1:8" ht="15">
      <c r="A10" s="2">
        <v>2</v>
      </c>
      <c r="B10" s="3" t="s">
        <v>9</v>
      </c>
      <c r="C10" s="6"/>
      <c r="D10" s="6">
        <f>1105.4</f>
        <v>1105.4</v>
      </c>
      <c r="E10" s="5">
        <f>361.4174+770+148.74</f>
        <v>1280.1574</v>
      </c>
      <c r="F10" s="5">
        <f>6.78</f>
        <v>6.78</v>
      </c>
      <c r="G10" s="5">
        <f>-153.812</f>
        <v>-153.812</v>
      </c>
      <c r="H10" s="6">
        <f aca="true" t="shared" si="0" ref="H10:H15">G10/15369.5</f>
        <v>-0.010007612479260875</v>
      </c>
    </row>
    <row r="11" spans="1:8" ht="15">
      <c r="A11" s="2">
        <v>3</v>
      </c>
      <c r="B11" s="3" t="s">
        <v>31</v>
      </c>
      <c r="C11" s="5" t="s">
        <v>40</v>
      </c>
      <c r="D11" s="5">
        <f>1305+434</f>
        <v>1739</v>
      </c>
      <c r="E11" s="5">
        <f>397.7+1045.242+142.05</f>
        <v>1584.992</v>
      </c>
      <c r="F11" s="5">
        <f>28.33</f>
        <v>28.33</v>
      </c>
      <c r="G11" s="5">
        <f>50.6142</f>
        <v>50.6142</v>
      </c>
      <c r="H11" s="6">
        <f t="shared" si="0"/>
        <v>0.0032931585282540096</v>
      </c>
    </row>
    <row r="12" spans="1:8" ht="15">
      <c r="A12" s="2">
        <v>4</v>
      </c>
      <c r="B12" s="3" t="s">
        <v>10</v>
      </c>
      <c r="C12" s="5"/>
      <c r="D12" s="5">
        <f>D10+D11</f>
        <v>2844.4</v>
      </c>
      <c r="E12" s="5">
        <f>699.94+1758.132+259.12+133.1806+7.7826+46.67</f>
        <v>2904.8252</v>
      </c>
      <c r="F12" s="5">
        <f>35.11</f>
        <v>35.11</v>
      </c>
      <c r="G12" s="5">
        <v>0</v>
      </c>
      <c r="H12" s="6">
        <f t="shared" si="0"/>
        <v>0</v>
      </c>
    </row>
    <row r="13" spans="1:8" ht="15">
      <c r="A13" s="30">
        <v>5</v>
      </c>
      <c r="B13" s="24" t="s">
        <v>37</v>
      </c>
      <c r="C13" s="5"/>
      <c r="D13" s="20">
        <f>22271</f>
        <v>22271</v>
      </c>
      <c r="E13" s="5">
        <f>34976.9</f>
        <v>34976.9</v>
      </c>
      <c r="F13" s="5">
        <f>253</f>
        <v>253</v>
      </c>
      <c r="G13" s="5">
        <f>-11385.0506</f>
        <v>-11385.0506</v>
      </c>
      <c r="H13" s="6">
        <f t="shared" si="0"/>
        <v>-0.7407560818504181</v>
      </c>
    </row>
    <row r="14" spans="1:8" ht="15">
      <c r="A14" s="31"/>
      <c r="B14" s="24" t="s">
        <v>38</v>
      </c>
      <c r="C14" s="5"/>
      <c r="D14" s="20">
        <f>21142</f>
        <v>21142</v>
      </c>
      <c r="E14" s="5">
        <f>32772.5</f>
        <v>32772.5</v>
      </c>
      <c r="F14" s="5">
        <f>583</f>
        <v>583</v>
      </c>
      <c r="G14" s="5">
        <f>-11616.6471</f>
        <v>-11616.6471</v>
      </c>
      <c r="H14" s="6">
        <f t="shared" si="0"/>
        <v>-0.7558246592276913</v>
      </c>
    </row>
    <row r="15" spans="1:8" ht="15">
      <c r="A15" s="32"/>
      <c r="B15" s="21" t="s">
        <v>14</v>
      </c>
      <c r="C15" s="21"/>
      <c r="D15" s="22">
        <f>SUM(D13:D14)</f>
        <v>43413</v>
      </c>
      <c r="E15" s="22">
        <f>SUM(E13:E14)</f>
        <v>67749.4</v>
      </c>
      <c r="F15" s="22">
        <f>SUM(F13:F14)</f>
        <v>836</v>
      </c>
      <c r="G15" s="22">
        <f>SUM(G13:G14)</f>
        <v>-23001.6977</v>
      </c>
      <c r="H15" s="6">
        <f t="shared" si="0"/>
        <v>-1.4965807410781093</v>
      </c>
    </row>
  </sheetData>
  <sheetProtection/>
  <mergeCells count="10">
    <mergeCell ref="A13:A15"/>
    <mergeCell ref="A6:H6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J1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7" sqref="C7:C8"/>
    </sheetView>
  </sheetViews>
  <sheetFormatPr defaultColWidth="9.140625" defaultRowHeight="15"/>
  <cols>
    <col min="1" max="1" width="5.00390625" style="0" customWidth="1"/>
    <col min="2" max="2" width="24.28125" style="0" customWidth="1"/>
    <col min="3" max="3" width="18.140625" style="0" customWidth="1"/>
    <col min="4" max="4" width="15.57421875" style="0" customWidth="1"/>
    <col min="5" max="5" width="16.7109375" style="0" customWidth="1"/>
    <col min="6" max="6" width="15.00390625" style="0" customWidth="1"/>
    <col min="7" max="7" width="12.7109375" style="0" customWidth="1"/>
    <col min="8" max="8" width="12.57421875" style="0" customWidth="1"/>
  </cols>
  <sheetData>
    <row r="5" spans="2:3" ht="20.25" customHeight="1">
      <c r="B5" s="11" t="s">
        <v>41</v>
      </c>
      <c r="C5" s="11"/>
    </row>
    <row r="6" spans="1:8" ht="15" customHeight="1">
      <c r="A6" s="35" t="s">
        <v>8</v>
      </c>
      <c r="B6" s="35"/>
      <c r="C6" s="35"/>
      <c r="D6" s="35"/>
      <c r="E6" s="35"/>
      <c r="F6" s="35"/>
      <c r="G6" s="35"/>
      <c r="H6" s="35"/>
    </row>
    <row r="7" spans="1:8" ht="66.75" customHeight="1">
      <c r="A7" s="28" t="s">
        <v>0</v>
      </c>
      <c r="B7" s="33" t="s">
        <v>1</v>
      </c>
      <c r="C7" s="28" t="s">
        <v>2</v>
      </c>
      <c r="D7" s="28" t="s">
        <v>11</v>
      </c>
      <c r="E7" s="28" t="s">
        <v>3</v>
      </c>
      <c r="F7" s="28" t="s">
        <v>4</v>
      </c>
      <c r="G7" s="28" t="s">
        <v>5</v>
      </c>
      <c r="H7" s="33" t="s">
        <v>6</v>
      </c>
    </row>
    <row r="8" spans="1:10" ht="15.75" customHeight="1">
      <c r="A8" s="29"/>
      <c r="B8" s="34"/>
      <c r="C8" s="29"/>
      <c r="D8" s="29"/>
      <c r="E8" s="29"/>
      <c r="F8" s="29"/>
      <c r="G8" s="29"/>
      <c r="H8" s="34"/>
      <c r="J8" s="8"/>
    </row>
    <row r="9" spans="1:8" ht="15">
      <c r="A9" s="14">
        <v>1</v>
      </c>
      <c r="B9" s="15" t="s">
        <v>29</v>
      </c>
      <c r="C9" s="14"/>
      <c r="D9" s="14">
        <f>82.68</f>
        <v>82.68</v>
      </c>
      <c r="E9" s="18">
        <f>E10*0.0478+0.0771</f>
        <v>63.803582000000006</v>
      </c>
      <c r="F9" s="18">
        <f>F10*0.0478</f>
        <v>0.367104</v>
      </c>
      <c r="G9" s="25">
        <f>50.6142*0.0478+0.0002</f>
        <v>2.41955876</v>
      </c>
      <c r="H9" s="6">
        <f aca="true" t="shared" si="0" ref="H9:H15">G9/15369.5</f>
        <v>0.000157425990435603</v>
      </c>
    </row>
    <row r="10" spans="1:8" ht="15">
      <c r="A10" s="2">
        <v>2</v>
      </c>
      <c r="B10" s="3" t="s">
        <v>9</v>
      </c>
      <c r="C10" s="6"/>
      <c r="D10" s="6">
        <f>1249.9</f>
        <v>1249.9</v>
      </c>
      <c r="E10" s="25">
        <f>811.44-73.6+529.52+65.83</f>
        <v>1333.19</v>
      </c>
      <c r="F10" s="25">
        <f>7.68</f>
        <v>7.68</v>
      </c>
      <c r="G10" s="25">
        <f>D10-E10-F10</f>
        <v>-90.96999999999997</v>
      </c>
      <c r="H10" s="6">
        <f t="shared" si="0"/>
        <v>-0.0059188652851426505</v>
      </c>
    </row>
    <row r="11" spans="1:8" ht="15">
      <c r="A11" s="2">
        <v>3</v>
      </c>
      <c r="B11" s="3" t="s">
        <v>31</v>
      </c>
      <c r="C11" s="5" t="s">
        <v>42</v>
      </c>
      <c r="D11" s="5">
        <f>93842-92189</f>
        <v>1653</v>
      </c>
      <c r="E11" s="25">
        <f>442.39-39.84+959.388+96.45</f>
        <v>1458.3880000000001</v>
      </c>
      <c r="F11" s="25">
        <f>22.5</f>
        <v>22.5</v>
      </c>
      <c r="G11" s="25">
        <f>50.614</f>
        <v>50.614</v>
      </c>
      <c r="H11" s="6">
        <f t="shared" si="0"/>
        <v>0.0032931455154689483</v>
      </c>
    </row>
    <row r="12" spans="1:8" ht="15">
      <c r="A12" s="2">
        <v>4</v>
      </c>
      <c r="B12" s="3" t="s">
        <v>10</v>
      </c>
      <c r="C12" s="5"/>
      <c r="D12" s="5">
        <f>D10+D11</f>
        <v>2902.9</v>
      </c>
      <c r="E12" s="25">
        <f>788.94-113.44+1200.358+22.61+122.03+777.44-38.89+20.87+11.18+0.48</f>
        <v>2791.578</v>
      </c>
      <c r="F12" s="25">
        <f>F10+F11</f>
        <v>30.18</v>
      </c>
      <c r="G12" s="25">
        <v>0</v>
      </c>
      <c r="H12" s="6">
        <f t="shared" si="0"/>
        <v>0</v>
      </c>
    </row>
    <row r="13" spans="1:8" ht="15">
      <c r="A13" s="30">
        <v>5</v>
      </c>
      <c r="B13" s="24" t="s">
        <v>37</v>
      </c>
      <c r="C13" s="5"/>
      <c r="D13" s="20">
        <f>31860+62</f>
        <v>31922</v>
      </c>
      <c r="E13" s="5">
        <f>29935</f>
        <v>29935</v>
      </c>
      <c r="F13" s="5">
        <f>3563</f>
        <v>3563</v>
      </c>
      <c r="G13" s="5">
        <f>D13-E13-F13</f>
        <v>-1576</v>
      </c>
      <c r="H13" s="6">
        <f t="shared" si="0"/>
        <v>-0.10254074628322327</v>
      </c>
    </row>
    <row r="14" spans="1:8" ht="15">
      <c r="A14" s="31"/>
      <c r="B14" s="24" t="s">
        <v>38</v>
      </c>
      <c r="C14" s="5"/>
      <c r="D14" s="20">
        <f>25786+57</f>
        <v>25843</v>
      </c>
      <c r="E14" s="5">
        <f>19409.8</f>
        <v>19409.8</v>
      </c>
      <c r="F14" s="5">
        <f>340</f>
        <v>340</v>
      </c>
      <c r="G14" s="5">
        <f>D14-E14-F14</f>
        <v>6093.200000000001</v>
      </c>
      <c r="H14" s="6">
        <f t="shared" si="0"/>
        <v>0.3964475096782589</v>
      </c>
    </row>
    <row r="15" spans="1:8" ht="15">
      <c r="A15" s="32"/>
      <c r="B15" s="21" t="s">
        <v>14</v>
      </c>
      <c r="C15" s="21"/>
      <c r="D15" s="22">
        <f>SUM(D13:D14)</f>
        <v>57765</v>
      </c>
      <c r="E15" s="22">
        <f>SUM(E13:E14)</f>
        <v>49344.8</v>
      </c>
      <c r="F15" s="22">
        <f>SUM(F13:F14)</f>
        <v>3903</v>
      </c>
      <c r="G15" s="22">
        <f>SUM(G13:G14)</f>
        <v>4517.200000000001</v>
      </c>
      <c r="H15" s="6">
        <f t="shared" si="0"/>
        <v>0.2939067633950357</v>
      </c>
    </row>
  </sheetData>
  <sheetProtection/>
  <mergeCells count="10">
    <mergeCell ref="A13:A15"/>
    <mergeCell ref="A6:H6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J1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9" sqref="C9"/>
    </sheetView>
  </sheetViews>
  <sheetFormatPr defaultColWidth="9.140625" defaultRowHeight="15"/>
  <cols>
    <col min="1" max="1" width="5.00390625" style="0" customWidth="1"/>
    <col min="2" max="2" width="24.28125" style="0" customWidth="1"/>
    <col min="3" max="3" width="18.140625" style="0" customWidth="1"/>
    <col min="4" max="4" width="15.57421875" style="0" customWidth="1"/>
    <col min="5" max="5" width="16.7109375" style="0" customWidth="1"/>
    <col min="6" max="6" width="15.00390625" style="0" customWidth="1"/>
    <col min="7" max="7" width="12.7109375" style="0" customWidth="1"/>
    <col min="8" max="8" width="12.57421875" style="0" customWidth="1"/>
  </cols>
  <sheetData>
    <row r="5" spans="2:3" ht="20.25" customHeight="1">
      <c r="B5" s="11" t="s">
        <v>43</v>
      </c>
      <c r="C5" s="11"/>
    </row>
    <row r="6" spans="1:8" ht="15" customHeight="1">
      <c r="A6" s="35" t="s">
        <v>8</v>
      </c>
      <c r="B6" s="35"/>
      <c r="C6" s="35"/>
      <c r="D6" s="35"/>
      <c r="E6" s="35"/>
      <c r="F6" s="35"/>
      <c r="G6" s="35"/>
      <c r="H6" s="35"/>
    </row>
    <row r="7" spans="1:8" ht="66.75" customHeight="1">
      <c r="A7" s="28" t="s">
        <v>0</v>
      </c>
      <c r="B7" s="33" t="s">
        <v>1</v>
      </c>
      <c r="C7" s="28" t="s">
        <v>2</v>
      </c>
      <c r="D7" s="28" t="s">
        <v>11</v>
      </c>
      <c r="E7" s="28" t="s">
        <v>3</v>
      </c>
      <c r="F7" s="28" t="s">
        <v>4</v>
      </c>
      <c r="G7" s="28" t="s">
        <v>5</v>
      </c>
      <c r="H7" s="33" t="s">
        <v>6</v>
      </c>
    </row>
    <row r="8" spans="1:10" ht="15.75" customHeight="1">
      <c r="A8" s="29"/>
      <c r="B8" s="34"/>
      <c r="C8" s="29"/>
      <c r="D8" s="29"/>
      <c r="E8" s="29"/>
      <c r="F8" s="29"/>
      <c r="G8" s="29"/>
      <c r="H8" s="34"/>
      <c r="J8" s="8"/>
    </row>
    <row r="9" spans="1:8" ht="15">
      <c r="A9" s="14">
        <v>1</v>
      </c>
      <c r="B9" s="15" t="s">
        <v>29</v>
      </c>
      <c r="C9" s="14"/>
      <c r="D9" s="14">
        <f>102.11</f>
        <v>102.11</v>
      </c>
      <c r="E9" s="18">
        <f>E10*0.0478-0.0099</f>
        <v>68.93258014</v>
      </c>
      <c r="F9" s="18">
        <f>F10*0.0478</f>
        <v>0.373796</v>
      </c>
      <c r="G9" s="25">
        <f>50.6142*0.0478+0.0002</f>
        <v>2.41955876</v>
      </c>
      <c r="H9" s="6">
        <f aca="true" t="shared" si="0" ref="H9:H15">G9/15369.5</f>
        <v>0.000157425990435603</v>
      </c>
    </row>
    <row r="10" spans="1:8" ht="15">
      <c r="A10" s="2">
        <v>2</v>
      </c>
      <c r="B10" s="3" t="s">
        <v>9</v>
      </c>
      <c r="C10" s="6"/>
      <c r="D10" s="6">
        <f>1139.37</f>
        <v>1139.37</v>
      </c>
      <c r="E10" s="25">
        <f>846.2497-140.7484+585.04+151.77</f>
        <v>1442.3112999999998</v>
      </c>
      <c r="F10" s="25">
        <f>7.82</f>
        <v>7.82</v>
      </c>
      <c r="G10" s="25">
        <f>D10-E10-F10+39.381</f>
        <v>-271.3802999999999</v>
      </c>
      <c r="H10" s="6">
        <f t="shared" si="0"/>
        <v>-0.017657067568886426</v>
      </c>
    </row>
    <row r="11" spans="1:8" ht="15">
      <c r="A11" s="2">
        <v>3</v>
      </c>
      <c r="B11" s="3" t="s">
        <v>31</v>
      </c>
      <c r="C11" s="5" t="s">
        <v>44</v>
      </c>
      <c r="D11" s="5">
        <f>95392-93842</f>
        <v>1550</v>
      </c>
      <c r="E11" s="25">
        <f>483.06-80.51+557.94+361</f>
        <v>1321.49</v>
      </c>
      <c r="F11" s="25">
        <f>18</f>
        <v>18</v>
      </c>
      <c r="G11" s="25">
        <f>50.614</f>
        <v>50.614</v>
      </c>
      <c r="H11" s="6">
        <f t="shared" si="0"/>
        <v>0.0032931455154689483</v>
      </c>
    </row>
    <row r="12" spans="1:8" ht="15">
      <c r="A12" s="2">
        <v>4</v>
      </c>
      <c r="B12" s="3" t="s">
        <v>10</v>
      </c>
      <c r="C12" s="5"/>
      <c r="D12" s="5">
        <f>D10+D11</f>
        <v>2689.37</v>
      </c>
      <c r="E12" s="25">
        <f>871.66-221.2584+1345.56+424.78+251.4397+79.35+11.3+0.97</f>
        <v>2763.8012999999996</v>
      </c>
      <c r="F12" s="25">
        <f>F10+F11</f>
        <v>25.82</v>
      </c>
      <c r="G12" s="25">
        <v>0</v>
      </c>
      <c r="H12" s="6">
        <f t="shared" si="0"/>
        <v>0</v>
      </c>
    </row>
    <row r="13" spans="1:8" ht="15">
      <c r="A13" s="30">
        <v>5</v>
      </c>
      <c r="B13" s="24" t="s">
        <v>37</v>
      </c>
      <c r="C13" s="5"/>
      <c r="D13" s="20">
        <f>27121</f>
        <v>27121</v>
      </c>
      <c r="E13" s="5">
        <f>27947</f>
        <v>27947</v>
      </c>
      <c r="F13" s="5">
        <f>1973</f>
        <v>1973</v>
      </c>
      <c r="G13" s="25">
        <f>D13-E13-F13+0.0009</f>
        <v>-2798.9991</v>
      </c>
      <c r="H13" s="6">
        <f t="shared" si="0"/>
        <v>-0.1821138683756791</v>
      </c>
    </row>
    <row r="14" spans="1:8" ht="15">
      <c r="A14" s="31"/>
      <c r="B14" s="24" t="s">
        <v>38</v>
      </c>
      <c r="C14" s="5"/>
      <c r="D14" s="20">
        <f>24294</f>
        <v>24294</v>
      </c>
      <c r="E14" s="5">
        <f>17955.6</f>
        <v>17955.6</v>
      </c>
      <c r="F14" s="5">
        <f>260</f>
        <v>260</v>
      </c>
      <c r="G14" s="25">
        <f>D14-E14-F14-0.0004</f>
        <v>6078.399600000002</v>
      </c>
      <c r="H14" s="6">
        <f t="shared" si="0"/>
        <v>0.395484537558151</v>
      </c>
    </row>
    <row r="15" spans="1:8" ht="15">
      <c r="A15" s="32"/>
      <c r="B15" s="21" t="s">
        <v>14</v>
      </c>
      <c r="C15" s="21"/>
      <c r="D15" s="22">
        <f>SUM(D13:D14)</f>
        <v>51415</v>
      </c>
      <c r="E15" s="22">
        <f>SUM(E13:E14)</f>
        <v>45902.6</v>
      </c>
      <c r="F15" s="22">
        <f>SUM(F13:F14)</f>
        <v>2233</v>
      </c>
      <c r="G15" s="22">
        <f>SUM(G13:G14)</f>
        <v>3279.4005000000016</v>
      </c>
      <c r="H15" s="6">
        <f t="shared" si="0"/>
        <v>0.21337066918247188</v>
      </c>
    </row>
  </sheetData>
  <sheetProtection/>
  <mergeCells count="10">
    <mergeCell ref="A13:A15"/>
    <mergeCell ref="A6:H6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J1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7" sqref="B7:B8"/>
    </sheetView>
  </sheetViews>
  <sheetFormatPr defaultColWidth="9.140625" defaultRowHeight="15"/>
  <cols>
    <col min="1" max="1" width="5.00390625" style="0" customWidth="1"/>
    <col min="2" max="2" width="24.28125" style="0" customWidth="1"/>
    <col min="3" max="3" width="18.140625" style="0" customWidth="1"/>
    <col min="4" max="4" width="15.57421875" style="0" customWidth="1"/>
    <col min="5" max="5" width="16.7109375" style="0" customWidth="1"/>
    <col min="6" max="6" width="15.00390625" style="0" customWidth="1"/>
    <col min="7" max="7" width="12.7109375" style="0" customWidth="1"/>
    <col min="8" max="8" width="12.57421875" style="0" customWidth="1"/>
  </cols>
  <sheetData>
    <row r="5" spans="2:3" ht="20.25" customHeight="1">
      <c r="B5" s="11" t="s">
        <v>45</v>
      </c>
      <c r="C5" s="11"/>
    </row>
    <row r="6" spans="1:8" ht="15" customHeight="1">
      <c r="A6" s="35" t="s">
        <v>8</v>
      </c>
      <c r="B6" s="35"/>
      <c r="C6" s="35"/>
      <c r="D6" s="35"/>
      <c r="E6" s="35"/>
      <c r="F6" s="35"/>
      <c r="G6" s="35"/>
      <c r="H6" s="35"/>
    </row>
    <row r="7" spans="1:8" ht="66.75" customHeight="1">
      <c r="A7" s="28" t="s">
        <v>0</v>
      </c>
      <c r="B7" s="33" t="s">
        <v>1</v>
      </c>
      <c r="C7" s="28" t="s">
        <v>2</v>
      </c>
      <c r="D7" s="28" t="s">
        <v>11</v>
      </c>
      <c r="E7" s="28" t="s">
        <v>3</v>
      </c>
      <c r="F7" s="28" t="s">
        <v>4</v>
      </c>
      <c r="G7" s="28" t="s">
        <v>5</v>
      </c>
      <c r="H7" s="33" t="s">
        <v>6</v>
      </c>
    </row>
    <row r="8" spans="1:10" ht="15.75" customHeight="1">
      <c r="A8" s="29"/>
      <c r="B8" s="34"/>
      <c r="C8" s="29"/>
      <c r="D8" s="29"/>
      <c r="E8" s="29"/>
      <c r="F8" s="29"/>
      <c r="G8" s="29"/>
      <c r="H8" s="34"/>
      <c r="J8" s="8"/>
    </row>
    <row r="9" spans="1:8" ht="15">
      <c r="A9" s="14">
        <v>1</v>
      </c>
      <c r="B9" s="15" t="s">
        <v>29</v>
      </c>
      <c r="C9" s="14"/>
      <c r="D9" s="14">
        <f>107.74</f>
        <v>107.74</v>
      </c>
      <c r="E9" s="18">
        <f>E10*0.0478-0.0432+0.0166</f>
        <v>59.86918522</v>
      </c>
      <c r="F9" s="18">
        <f>F10*0.0478</f>
        <v>0.498076</v>
      </c>
      <c r="G9" s="25">
        <f>50.6142*0.0478+0.0002</f>
        <v>2.41955876</v>
      </c>
      <c r="H9" s="6">
        <f aca="true" t="shared" si="0" ref="H9:H15">G9/15369.5</f>
        <v>0.000157425990435603</v>
      </c>
    </row>
    <row r="10" spans="1:8" ht="15">
      <c r="A10" s="2">
        <v>2</v>
      </c>
      <c r="B10" s="3" t="s">
        <v>9</v>
      </c>
      <c r="C10" s="6"/>
      <c r="D10" s="6">
        <f>1258.17</f>
        <v>1258.17</v>
      </c>
      <c r="E10" s="25">
        <f>755.0148+530.38+93.23-125.5742-0.0007</f>
        <v>1253.0499</v>
      </c>
      <c r="F10" s="25">
        <f>10.42</f>
        <v>10.42</v>
      </c>
      <c r="G10" s="25">
        <f>D10-E10-F10+0.3536</f>
        <v>-4.946299999999907</v>
      </c>
      <c r="H10" s="6">
        <f t="shared" si="0"/>
        <v>-0.0003218256937440975</v>
      </c>
    </row>
    <row r="11" spans="1:8" ht="15">
      <c r="A11" s="2">
        <v>3</v>
      </c>
      <c r="B11" s="3" t="s">
        <v>31</v>
      </c>
      <c r="C11" s="5" t="s">
        <v>46</v>
      </c>
      <c r="D11" s="5">
        <f>96840-95392</f>
        <v>1448</v>
      </c>
      <c r="E11" s="25">
        <f>461.8452+781.28+88.47-76.9742+0.0007</f>
        <v>1254.6217000000001</v>
      </c>
      <c r="F11" s="25">
        <f>31</f>
        <v>31</v>
      </c>
      <c r="G11" s="25">
        <f>50.6142-0.0002</f>
        <v>50.614</v>
      </c>
      <c r="H11" s="6">
        <f t="shared" si="0"/>
        <v>0.0032931455154689483</v>
      </c>
    </row>
    <row r="12" spans="1:8" ht="15">
      <c r="A12" s="2">
        <v>4</v>
      </c>
      <c r="B12" s="3" t="s">
        <v>10</v>
      </c>
      <c r="C12" s="5"/>
      <c r="D12" s="5">
        <f>D10+D11</f>
        <v>2706.17</v>
      </c>
      <c r="E12" s="25">
        <f>694.5101+1207.6+127.46+454.5858+14.8124+8.7</f>
        <v>2507.6682999999994</v>
      </c>
      <c r="F12" s="25">
        <f>F10+F11</f>
        <v>41.42</v>
      </c>
      <c r="G12" s="25">
        <v>0</v>
      </c>
      <c r="H12" s="6">
        <f t="shared" si="0"/>
        <v>0</v>
      </c>
    </row>
    <row r="13" spans="1:8" ht="15">
      <c r="A13" s="30">
        <v>5</v>
      </c>
      <c r="B13" s="24" t="s">
        <v>37</v>
      </c>
      <c r="C13" s="5"/>
      <c r="D13" s="20">
        <f>26975</f>
        <v>26975</v>
      </c>
      <c r="E13" s="25">
        <f>28041</f>
        <v>28041</v>
      </c>
      <c r="F13" s="25">
        <f>1837</f>
        <v>1837</v>
      </c>
      <c r="G13" s="25">
        <f>D13-E13-F13+0.0012</f>
        <v>-2902.9988</v>
      </c>
      <c r="H13" s="6">
        <f t="shared" si="0"/>
        <v>-0.18888049708838933</v>
      </c>
    </row>
    <row r="14" spans="1:8" ht="15">
      <c r="A14" s="31"/>
      <c r="B14" s="24" t="s">
        <v>38</v>
      </c>
      <c r="C14" s="5"/>
      <c r="D14" s="20">
        <f>27045</f>
        <v>27045</v>
      </c>
      <c r="E14" s="25">
        <f>18543</f>
        <v>18543</v>
      </c>
      <c r="F14" s="25">
        <f>252</f>
        <v>252</v>
      </c>
      <c r="G14" s="25">
        <f>D14-E14-F14+0.0009</f>
        <v>8250.0009</v>
      </c>
      <c r="H14" s="6">
        <f t="shared" si="0"/>
        <v>0.5367774423370961</v>
      </c>
    </row>
    <row r="15" spans="1:8" ht="15">
      <c r="A15" s="32"/>
      <c r="B15" s="21" t="s">
        <v>14</v>
      </c>
      <c r="C15" s="21"/>
      <c r="D15" s="22">
        <f>SUM(D13:D14)</f>
        <v>54020</v>
      </c>
      <c r="E15" s="26">
        <f>SUM(E13:E14)</f>
        <v>46584</v>
      </c>
      <c r="F15" s="26">
        <f>SUM(F13:F14)</f>
        <v>2089</v>
      </c>
      <c r="G15" s="26">
        <f>SUM(G13:G14)</f>
        <v>5347.0021</v>
      </c>
      <c r="H15" s="6">
        <f t="shared" si="0"/>
        <v>0.34789694524870685</v>
      </c>
    </row>
  </sheetData>
  <sheetProtection/>
  <mergeCells count="10">
    <mergeCell ref="A13:A15"/>
    <mergeCell ref="A6:H6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J1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7" sqref="B7:B8"/>
    </sheetView>
  </sheetViews>
  <sheetFormatPr defaultColWidth="9.140625" defaultRowHeight="15"/>
  <cols>
    <col min="1" max="1" width="5.00390625" style="0" customWidth="1"/>
    <col min="2" max="2" width="24.28125" style="0" customWidth="1"/>
    <col min="3" max="3" width="18.140625" style="0" customWidth="1"/>
    <col min="4" max="4" width="15.57421875" style="0" customWidth="1"/>
    <col min="5" max="5" width="16.7109375" style="0" customWidth="1"/>
    <col min="6" max="6" width="15.00390625" style="0" customWidth="1"/>
    <col min="7" max="7" width="12.7109375" style="0" customWidth="1"/>
    <col min="8" max="8" width="12.57421875" style="0" customWidth="1"/>
  </cols>
  <sheetData>
    <row r="5" spans="2:3" ht="20.25" customHeight="1">
      <c r="B5" s="11" t="s">
        <v>47</v>
      </c>
      <c r="C5" s="11"/>
    </row>
    <row r="6" spans="1:8" ht="15" customHeight="1">
      <c r="A6" s="35" t="s">
        <v>8</v>
      </c>
      <c r="B6" s="35"/>
      <c r="C6" s="35"/>
      <c r="D6" s="35"/>
      <c r="E6" s="35"/>
      <c r="F6" s="35"/>
      <c r="G6" s="35"/>
      <c r="H6" s="35"/>
    </row>
    <row r="7" spans="1:8" ht="66.75" customHeight="1">
      <c r="A7" s="28" t="s">
        <v>0</v>
      </c>
      <c r="B7" s="33" t="s">
        <v>1</v>
      </c>
      <c r="C7" s="28" t="s">
        <v>2</v>
      </c>
      <c r="D7" s="28" t="s">
        <v>11</v>
      </c>
      <c r="E7" s="28" t="s">
        <v>3</v>
      </c>
      <c r="F7" s="28" t="s">
        <v>4</v>
      </c>
      <c r="G7" s="28" t="s">
        <v>5</v>
      </c>
      <c r="H7" s="33" t="s">
        <v>6</v>
      </c>
    </row>
    <row r="8" spans="1:10" ht="15.75" customHeight="1">
      <c r="A8" s="29"/>
      <c r="B8" s="34"/>
      <c r="C8" s="29"/>
      <c r="D8" s="29"/>
      <c r="E8" s="29"/>
      <c r="F8" s="29"/>
      <c r="G8" s="29"/>
      <c r="H8" s="34"/>
      <c r="J8" s="8"/>
    </row>
    <row r="9" spans="1:8" ht="15">
      <c r="A9" s="14">
        <v>1</v>
      </c>
      <c r="B9" s="15" t="s">
        <v>29</v>
      </c>
      <c r="C9" s="14"/>
      <c r="D9" s="14">
        <f>53.16+20.28</f>
        <v>73.44</v>
      </c>
      <c r="E9" s="18">
        <f>E10*0.0478+0.0821</f>
        <v>59.92339799999999</v>
      </c>
      <c r="F9" s="18">
        <f>F10*0.0478</f>
        <v>0.441672</v>
      </c>
      <c r="G9" s="25">
        <f>50.6142*0.0478+0.0001</f>
        <v>2.4194587600000004</v>
      </c>
      <c r="H9" s="6">
        <f>G9/15369</f>
        <v>0.0001574246053744551</v>
      </c>
    </row>
    <row r="10" spans="1:8" ht="15">
      <c r="A10" s="2">
        <v>2</v>
      </c>
      <c r="B10" s="3" t="s">
        <v>9</v>
      </c>
      <c r="C10" s="6"/>
      <c r="D10" s="6">
        <f>926.5+229.76</f>
        <v>1156.26</v>
      </c>
      <c r="E10" s="25">
        <f>774.41-128.8+540.67+65.63</f>
        <v>1251.9099999999999</v>
      </c>
      <c r="F10" s="25">
        <f>9.24</f>
        <v>9.24</v>
      </c>
      <c r="G10" s="25">
        <f>D10-E10-F10+10.2699</f>
        <v>-94.62009999999987</v>
      </c>
      <c r="H10" s="6">
        <f aca="true" t="shared" si="0" ref="H10:H15">G10/15369</f>
        <v>-0.006156555403734782</v>
      </c>
    </row>
    <row r="11" spans="1:8" ht="15">
      <c r="A11" s="2">
        <v>3</v>
      </c>
      <c r="B11" s="3" t="s">
        <v>31</v>
      </c>
      <c r="C11" s="5" t="s">
        <v>48</v>
      </c>
      <c r="D11" s="5">
        <f>98500-96840</f>
        <v>1660</v>
      </c>
      <c r="E11" s="25">
        <f>429.516-71.586+902.73+83.54</f>
        <v>1344.2</v>
      </c>
      <c r="F11" s="25">
        <f>21</f>
        <v>21</v>
      </c>
      <c r="G11" s="25">
        <f>50.6142+0.0004</f>
        <v>50.614599999999996</v>
      </c>
      <c r="H11" s="6">
        <f t="shared" si="0"/>
        <v>0.0032932916910664322</v>
      </c>
    </row>
    <row r="12" spans="1:8" ht="15">
      <c r="A12" s="2">
        <v>4</v>
      </c>
      <c r="B12" s="3" t="s">
        <v>10</v>
      </c>
      <c r="C12" s="5"/>
      <c r="D12" s="5">
        <f>D10+D11</f>
        <v>2816.26</v>
      </c>
      <c r="E12" s="25">
        <f>678.367+1289.75+95.92+508.47+15.22+8.375</f>
        <v>2596.1019999999994</v>
      </c>
      <c r="F12" s="25">
        <f>F10+F11</f>
        <v>30.240000000000002</v>
      </c>
      <c r="G12" s="25">
        <v>0</v>
      </c>
      <c r="H12" s="6">
        <f t="shared" si="0"/>
        <v>0</v>
      </c>
    </row>
    <row r="13" spans="1:8" ht="15">
      <c r="A13" s="30">
        <v>5</v>
      </c>
      <c r="B13" s="24" t="s">
        <v>37</v>
      </c>
      <c r="C13" s="5"/>
      <c r="D13" s="20">
        <f>29638</f>
        <v>29638</v>
      </c>
      <c r="E13" s="25">
        <f>26617</f>
        <v>26617</v>
      </c>
      <c r="F13" s="25">
        <f>1191</f>
        <v>1191</v>
      </c>
      <c r="G13" s="25">
        <f>D13-E13-F13+0.0017</f>
        <v>1830.0017</v>
      </c>
      <c r="H13" s="6">
        <f t="shared" si="0"/>
        <v>0.11907096753204503</v>
      </c>
    </row>
    <row r="14" spans="1:8" ht="15">
      <c r="A14" s="31"/>
      <c r="B14" s="24" t="s">
        <v>38</v>
      </c>
      <c r="C14" s="5"/>
      <c r="D14" s="20">
        <f>24120</f>
        <v>24120</v>
      </c>
      <c r="E14" s="25">
        <f>13816</f>
        <v>13816</v>
      </c>
      <c r="F14" s="25">
        <f>221</f>
        <v>221</v>
      </c>
      <c r="G14" s="25">
        <f>D14-E14-F14+0.0015</f>
        <v>10083.0015</v>
      </c>
      <c r="H14" s="6">
        <f t="shared" si="0"/>
        <v>0.6560609994144057</v>
      </c>
    </row>
    <row r="15" spans="1:8" ht="15">
      <c r="A15" s="32"/>
      <c r="B15" s="21" t="s">
        <v>14</v>
      </c>
      <c r="C15" s="21"/>
      <c r="D15" s="22">
        <f>SUM(D13:D14)</f>
        <v>53758</v>
      </c>
      <c r="E15" s="26">
        <f>SUM(E13:E14)</f>
        <v>40433</v>
      </c>
      <c r="F15" s="26">
        <f>SUM(F13:F14)</f>
        <v>1412</v>
      </c>
      <c r="G15" s="26">
        <f>SUM(G13:G14)</f>
        <v>11913.003200000001</v>
      </c>
      <c r="H15" s="6">
        <f t="shared" si="0"/>
        <v>0.7751319669464507</v>
      </c>
    </row>
  </sheetData>
  <sheetProtection/>
  <mergeCells count="10">
    <mergeCell ref="A13:A15"/>
    <mergeCell ref="A6:H6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J1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0" sqref="C10"/>
    </sheetView>
  </sheetViews>
  <sheetFormatPr defaultColWidth="9.140625" defaultRowHeight="15"/>
  <cols>
    <col min="1" max="1" width="5.00390625" style="0" customWidth="1"/>
    <col min="2" max="2" width="24.28125" style="0" customWidth="1"/>
    <col min="3" max="3" width="18.140625" style="0" customWidth="1"/>
    <col min="4" max="4" width="15.57421875" style="0" customWidth="1"/>
    <col min="5" max="5" width="16.7109375" style="0" customWidth="1"/>
    <col min="6" max="6" width="15.00390625" style="0" customWidth="1"/>
    <col min="7" max="7" width="12.7109375" style="0" customWidth="1"/>
    <col min="8" max="8" width="12.57421875" style="0" customWidth="1"/>
  </cols>
  <sheetData>
    <row r="5" spans="2:3" ht="20.25" customHeight="1">
      <c r="B5" s="11" t="s">
        <v>49</v>
      </c>
      <c r="C5" s="11"/>
    </row>
    <row r="6" spans="1:8" ht="15" customHeight="1">
      <c r="A6" s="35" t="s">
        <v>8</v>
      </c>
      <c r="B6" s="35"/>
      <c r="C6" s="35"/>
      <c r="D6" s="35"/>
      <c r="E6" s="35"/>
      <c r="F6" s="35"/>
      <c r="G6" s="35"/>
      <c r="H6" s="35"/>
    </row>
    <row r="7" spans="1:8" ht="66.75" customHeight="1">
      <c r="A7" s="28" t="s">
        <v>0</v>
      </c>
      <c r="B7" s="33" t="s">
        <v>1</v>
      </c>
      <c r="C7" s="28" t="s">
        <v>2</v>
      </c>
      <c r="D7" s="28" t="s">
        <v>11</v>
      </c>
      <c r="E7" s="28" t="s">
        <v>3</v>
      </c>
      <c r="F7" s="28" t="s">
        <v>4</v>
      </c>
      <c r="G7" s="28" t="s">
        <v>5</v>
      </c>
      <c r="H7" s="33" t="s">
        <v>6</v>
      </c>
    </row>
    <row r="8" spans="1:10" ht="15.75" customHeight="1">
      <c r="A8" s="29"/>
      <c r="B8" s="34"/>
      <c r="C8" s="29"/>
      <c r="D8" s="29"/>
      <c r="E8" s="29"/>
      <c r="F8" s="29"/>
      <c r="G8" s="29"/>
      <c r="H8" s="34"/>
      <c r="J8" s="8"/>
    </row>
    <row r="9" spans="1:8" ht="15">
      <c r="A9" s="14">
        <v>1</v>
      </c>
      <c r="B9" s="15" t="s">
        <v>29</v>
      </c>
      <c r="C9" s="14"/>
      <c r="D9" s="14">
        <f>79.96</f>
        <v>79.96</v>
      </c>
      <c r="E9" s="18">
        <f>E10*0.0478+0.0036</f>
        <v>58.9053575476</v>
      </c>
      <c r="F9" s="18">
        <v>0.77</v>
      </c>
      <c r="G9" s="25">
        <f>50.6142*0.0478+0.0002</f>
        <v>2.41955876</v>
      </c>
      <c r="H9" s="6">
        <f>G9/15367.9</f>
        <v>0.00015744238054646374</v>
      </c>
    </row>
    <row r="10" spans="1:8" ht="15">
      <c r="A10" s="2">
        <v>2</v>
      </c>
      <c r="B10" s="3" t="s">
        <v>9</v>
      </c>
      <c r="C10" s="6"/>
      <c r="D10" s="6">
        <f>1181.2</f>
        <v>1181.2</v>
      </c>
      <c r="E10" s="25">
        <f>713.2765-118.632258+557.98+79.63+0.0001</f>
        <v>1232.254342</v>
      </c>
      <c r="F10" s="25">
        <f>9.57</f>
        <v>9.57</v>
      </c>
      <c r="G10" s="25">
        <f>D10-E10-F10+3.2749</f>
        <v>-57.349441999999904</v>
      </c>
      <c r="H10" s="6">
        <f aca="true" t="shared" si="0" ref="H10:H15">G10/15367.9</f>
        <v>-0.0037317682962538738</v>
      </c>
    </row>
    <row r="11" spans="1:8" ht="15">
      <c r="A11" s="2">
        <v>3</v>
      </c>
      <c r="B11" s="3" t="s">
        <v>31</v>
      </c>
      <c r="C11" s="5" t="s">
        <v>50</v>
      </c>
      <c r="D11" s="5">
        <f>99808-98500</f>
        <v>1308</v>
      </c>
      <c r="E11" s="25">
        <f>447.7645-74.627419+856.07+78.84+0.0007</f>
        <v>1308.047781</v>
      </c>
      <c r="F11" s="25">
        <f>21</f>
        <v>21</v>
      </c>
      <c r="G11" s="25">
        <f>D11-E11-F11+0.8627</f>
        <v>-20.185080999999986</v>
      </c>
      <c r="H11" s="6">
        <f t="shared" si="0"/>
        <v>-0.0013134573363959934</v>
      </c>
    </row>
    <row r="12" spans="1:8" ht="15">
      <c r="A12" s="2">
        <v>4</v>
      </c>
      <c r="B12" s="3" t="s">
        <v>10</v>
      </c>
      <c r="C12" s="5"/>
      <c r="D12" s="5">
        <f>D10+D11</f>
        <v>2489.2</v>
      </c>
      <c r="E12" s="25">
        <f>683.1628+1248.88+115.72+465.4239+18.41+8.7035</f>
        <v>2540.3002</v>
      </c>
      <c r="F12" s="25">
        <f>F10+F11</f>
        <v>30.57</v>
      </c>
      <c r="G12" s="25">
        <v>0</v>
      </c>
      <c r="H12" s="6">
        <f t="shared" si="0"/>
        <v>0</v>
      </c>
    </row>
    <row r="13" spans="1:8" ht="15">
      <c r="A13" s="30">
        <v>5</v>
      </c>
      <c r="B13" s="24" t="s">
        <v>37</v>
      </c>
      <c r="C13" s="5"/>
      <c r="D13" s="20">
        <f>34728</f>
        <v>34728</v>
      </c>
      <c r="E13" s="25">
        <f>21703</f>
        <v>21703</v>
      </c>
      <c r="F13" s="25">
        <f>825</f>
        <v>825</v>
      </c>
      <c r="G13" s="25">
        <f>D13-E13-F13+0.0009</f>
        <v>12200.0009</v>
      </c>
      <c r="H13" s="6">
        <f t="shared" si="0"/>
        <v>0.7938625902042569</v>
      </c>
    </row>
    <row r="14" spans="1:8" ht="15">
      <c r="A14" s="31"/>
      <c r="B14" s="24" t="s">
        <v>38</v>
      </c>
      <c r="C14" s="5"/>
      <c r="D14" s="20">
        <f>29995</f>
        <v>29995</v>
      </c>
      <c r="E14" s="25">
        <f>18259</f>
        <v>18259</v>
      </c>
      <c r="F14" s="25">
        <f>389</f>
        <v>389</v>
      </c>
      <c r="G14" s="25">
        <f>1859.5-0.0013</f>
        <v>1859.4987</v>
      </c>
      <c r="H14" s="6">
        <f t="shared" si="0"/>
        <v>0.1209988807839718</v>
      </c>
    </row>
    <row r="15" spans="1:8" ht="15">
      <c r="A15" s="32"/>
      <c r="B15" s="21" t="s">
        <v>14</v>
      </c>
      <c r="C15" s="21"/>
      <c r="D15" s="22">
        <f>SUM(D13:D14)</f>
        <v>64723</v>
      </c>
      <c r="E15" s="26">
        <f>SUM(E13:E14)</f>
        <v>39962</v>
      </c>
      <c r="F15" s="26">
        <f>SUM(F13:F14)</f>
        <v>1214</v>
      </c>
      <c r="G15" s="26">
        <f>SUM(G13:G14)</f>
        <v>14059.4996</v>
      </c>
      <c r="H15" s="6">
        <f t="shared" si="0"/>
        <v>0.9148614709882287</v>
      </c>
    </row>
  </sheetData>
  <sheetProtection/>
  <mergeCells count="10">
    <mergeCell ref="A13:A15"/>
    <mergeCell ref="A6:H6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2012-11-26T04:25:31Z</cp:lastPrinted>
  <dcterms:created xsi:type="dcterms:W3CDTF">2006-09-16T00:00:00Z</dcterms:created>
  <dcterms:modified xsi:type="dcterms:W3CDTF">2016-02-01T11:31:04Z</dcterms:modified>
  <cp:category/>
  <cp:version/>
  <cp:contentType/>
  <cp:contentStatus/>
</cp:coreProperties>
</file>