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99-а (январь)  " sheetId="1" r:id="rId1"/>
    <sheet name="99-а (февраль)" sheetId="2" r:id="rId2"/>
    <sheet name="99-а (март)" sheetId="3" r:id="rId3"/>
    <sheet name="99-а (апрель)" sheetId="4" r:id="rId4"/>
    <sheet name="99-а (май)" sheetId="5" r:id="rId5"/>
    <sheet name="99-а (июнь)" sheetId="6" r:id="rId6"/>
    <sheet name="99-а (июль)" sheetId="7" r:id="rId7"/>
    <sheet name="99-а (август)" sheetId="8" r:id="rId8"/>
    <sheet name="99-а (сентябрь)" sheetId="9" r:id="rId9"/>
    <sheet name="99-а (октябрь)" sheetId="10" r:id="rId10"/>
    <sheet name="99-а (ноябрь)" sheetId="11" r:id="rId11"/>
    <sheet name="99-а (декабрь)" sheetId="12" r:id="rId12"/>
  </sheets>
  <definedNames/>
  <calcPr fullCalcOnLoad="1"/>
</workbook>
</file>

<file path=xl/sharedStrings.xml><?xml version="1.0" encoding="utf-8"?>
<sst xmlns="http://schemas.openxmlformats.org/spreadsheetml/2006/main" count="232" uniqueCount="50">
  <si>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</si>
  <si>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</si>
  <si>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</si>
  <si>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</si>
  <si>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</si>
  <si>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</si>
  <si>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</si>
  <si>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</si>
  <si>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Репина 99-а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</si>
  <si>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</si>
  <si>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</si>
  <si>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</si>
  <si>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</si>
  <si>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</si>
  <si>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</si>
  <si>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сч.674221</t>
  </si>
  <si>
    <t>эл.эн.ночь № сч.674221</t>
  </si>
  <si>
    <t>эл.эн. № сч.3118</t>
  </si>
  <si>
    <t>эл.эн.ночь № сч.687710</t>
  </si>
  <si>
    <t>эл.эн.день № сч.687710</t>
  </si>
  <si>
    <t>день эл.эн.</t>
  </si>
  <si>
    <t>ночь эл.эн.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</si>
  <si>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</si>
  <si>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</si>
  <si>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</si>
  <si>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67466,/68018</t>
  </si>
  <si>
    <t>Объем коммунальных услуг по показаниям общедомовых приборов учета (ОДН) за февраль в марте 2015г.</t>
  </si>
  <si>
    <t>68018,/68900</t>
  </si>
  <si>
    <t>Объем коммунальных услуг по показаниям общедомовых приборов учета (ОДН) за март в апреле 2015г.</t>
  </si>
  <si>
    <t>68900,/69762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</si>
  <si>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</si>
  <si>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</si>
  <si>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</si>
  <si>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69762/69971,/70660</t>
  </si>
  <si>
    <t>Объем коммунальных услуг по показаниям общедомовых приборов учета (ОДН) за май в июне 2015г.</t>
  </si>
  <si>
    <t>70660,/71544</t>
  </si>
  <si>
    <t>Объем коммунальных услуг по показаниям общедомовых приборов учета (ОДН) за июнь в июле 2015г.</t>
  </si>
  <si>
    <t>71544,/72378</t>
  </si>
  <si>
    <t>Объем коммунальных услуг по показаниям общедомовых приборов учета (ОДН) за июль в августе 2015г.</t>
  </si>
  <si>
    <t>72378,/73203</t>
  </si>
  <si>
    <t>Объем коммунальных услуг по показаниям общедомовых приборов учета (ОДН) за август в сентябре 2015г.</t>
  </si>
  <si>
    <t>73203,/74203</t>
  </si>
  <si>
    <t>Объем коммунальных услуг по показаниям общедомовых приборов учета (ОДН) за сентябрь в октябре 2015г.</t>
  </si>
  <si>
    <t>74203,/74984</t>
  </si>
  <si>
    <t>Объем коммунальных услуг по показаниям общедомовых приборов учета (ОДН) за октябрь в ноябре 2015г.</t>
  </si>
  <si>
    <t>74984,/75870</t>
  </si>
  <si>
    <t>75870,/76744</t>
  </si>
  <si>
    <t>Объем коммунальных услуг по показаниям общедомовых приборов учета (ОДН) за ноябрь в декабре 2015г.</t>
  </si>
  <si>
    <t>Объем коммунальных услуг по показаниям общедомовых приборов учета (ОДН) за декабрь в январе 2016г.</t>
  </si>
  <si>
    <t>76744,/77782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</si>
</sst>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#,##0.0000"/>
    <numFmt numFmtId="167" formatCode="#,##0.000"/>
    <numFmt numFmtId="168" formatCode="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24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0" sqref="C10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6" t="s">
        <v>24</v>
      </c>
    </row>
    <row r="4" spans="1:10" ht="15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7.25" customHeight="1">
      <c r="A5" s="29" t="s">
        <v>0</v>
      </c>
      <c r="B5" s="31" t="s">
        <v>1</v>
      </c>
      <c r="C5" s="29" t="s">
        <v>2</v>
      </c>
      <c r="D5" s="37" t="s">
        <v>7</v>
      </c>
      <c r="E5" s="38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15.75">
      <c r="A6" s="30"/>
      <c r="B6" s="32"/>
      <c r="C6" s="30"/>
      <c r="D6" s="17" t="s">
        <v>12</v>
      </c>
      <c r="E6" s="19" t="s">
        <v>13</v>
      </c>
      <c r="F6" s="30"/>
      <c r="G6" s="30"/>
      <c r="H6" s="30"/>
      <c r="I6" s="30"/>
      <c r="J6" s="32"/>
    </row>
    <row r="7" spans="1:12" ht="15.75">
      <c r="A7" s="20">
        <v>1</v>
      </c>
      <c r="B7" s="21" t="s">
        <v>23</v>
      </c>
      <c r="C7" s="18"/>
      <c r="D7" s="17"/>
      <c r="E7" s="19"/>
      <c r="F7" s="22">
        <f>53.15</f>
        <v>53.15</v>
      </c>
      <c r="G7" s="22">
        <f>G8*0.0478</f>
        <v>31.550533400000003</v>
      </c>
      <c r="H7" s="22">
        <v>0</v>
      </c>
      <c r="I7" s="6">
        <f>25.3071*0.0478</f>
        <v>1.20967938</v>
      </c>
      <c r="J7" s="7">
        <f>I7/7030.04</f>
        <v>0.00017207290143441575</v>
      </c>
      <c r="L7" s="9"/>
    </row>
    <row r="8" spans="1:12" ht="15">
      <c r="A8" s="3">
        <v>2</v>
      </c>
      <c r="B8" s="4" t="s">
        <v>9</v>
      </c>
      <c r="C8" s="7"/>
      <c r="D8" s="5"/>
      <c r="E8" s="5"/>
      <c r="F8" s="6">
        <f>620.2</f>
        <v>620.2</v>
      </c>
      <c r="G8" s="6">
        <f>324.81+306.213+29.03</f>
        <v>660.053</v>
      </c>
      <c r="H8" s="6">
        <v>0</v>
      </c>
      <c r="I8" s="6">
        <f>F8-G8-H8</f>
        <v>-39.85299999999995</v>
      </c>
      <c r="J8" s="7">
        <f aca="true" t="shared" si="0" ref="J8:J18">I8/7030.04</f>
        <v>-0.005668957786868916</v>
      </c>
      <c r="L8" s="9"/>
    </row>
    <row r="9" spans="1:12" ht="15">
      <c r="A9" s="3">
        <v>3</v>
      </c>
      <c r="B9" s="4" t="s">
        <v>22</v>
      </c>
      <c r="C9" s="6" t="s">
        <v>25</v>
      </c>
      <c r="D9" s="5"/>
      <c r="E9" s="5"/>
      <c r="F9" s="6">
        <f>68018-67466</f>
        <v>552</v>
      </c>
      <c r="G9" s="6">
        <f>368.6+371.73+17.9</f>
        <v>758.23</v>
      </c>
      <c r="H9" s="6">
        <v>0</v>
      </c>
      <c r="I9" s="6">
        <f>F9-G9-H9</f>
        <v>-206.23000000000002</v>
      </c>
      <c r="J9" s="7">
        <f t="shared" si="0"/>
        <v>-0.029335537208892128</v>
      </c>
      <c r="L9" s="9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1172.2</v>
      </c>
      <c r="G10" s="6">
        <f>646.78+662.163+20.76+62+26.58</f>
        <v>1418.283</v>
      </c>
      <c r="H10" s="6">
        <f>H8+H9</f>
        <v>0</v>
      </c>
      <c r="I10" s="6">
        <v>0</v>
      </c>
      <c r="J10" s="7">
        <f t="shared" si="0"/>
        <v>0</v>
      </c>
    </row>
    <row r="11" spans="1:10" ht="15">
      <c r="A11" s="33">
        <v>5</v>
      </c>
      <c r="B11" s="4" t="s">
        <v>15</v>
      </c>
      <c r="C11" s="6"/>
      <c r="D11" s="5">
        <v>14592</v>
      </c>
      <c r="E11" s="5">
        <v>14723</v>
      </c>
      <c r="F11" s="7">
        <f>(E11-D11)*10</f>
        <v>1310</v>
      </c>
      <c r="G11" s="6">
        <v>0</v>
      </c>
      <c r="H11" s="6">
        <v>0</v>
      </c>
      <c r="I11" s="6">
        <f>F11-G11-H11</f>
        <v>1310</v>
      </c>
      <c r="J11" s="7">
        <f t="shared" si="0"/>
        <v>0.1863431787016859</v>
      </c>
    </row>
    <row r="12" spans="1:10" ht="15">
      <c r="A12" s="34"/>
      <c r="B12" s="4" t="s">
        <v>16</v>
      </c>
      <c r="C12" s="6"/>
      <c r="D12" s="10">
        <v>13824</v>
      </c>
      <c r="E12" s="10">
        <v>13965</v>
      </c>
      <c r="F12" s="7">
        <f>(E12-D12)*10</f>
        <v>1410</v>
      </c>
      <c r="G12" s="6">
        <v>0</v>
      </c>
      <c r="H12" s="6">
        <v>0</v>
      </c>
      <c r="I12" s="6">
        <f>F12-G12-H12</f>
        <v>1410</v>
      </c>
      <c r="J12" s="7">
        <f t="shared" si="0"/>
        <v>0.2005678488315856</v>
      </c>
    </row>
    <row r="13" spans="1:10" ht="15">
      <c r="A13" s="34"/>
      <c r="B13" s="4" t="s">
        <v>17</v>
      </c>
      <c r="C13" s="6"/>
      <c r="D13" s="10">
        <v>6301</v>
      </c>
      <c r="E13" s="10">
        <v>6353</v>
      </c>
      <c r="F13" s="7">
        <f>(E13-D13)*4</f>
        <v>208</v>
      </c>
      <c r="G13" s="6">
        <v>0</v>
      </c>
      <c r="H13" s="6">
        <v>0</v>
      </c>
      <c r="I13" s="6">
        <f>F13-G13-H13</f>
        <v>208</v>
      </c>
      <c r="J13" s="7">
        <f t="shared" si="0"/>
        <v>0.02958731387019135</v>
      </c>
    </row>
    <row r="14" spans="1:10" ht="15">
      <c r="A14" s="34"/>
      <c r="B14" s="4" t="s">
        <v>19</v>
      </c>
      <c r="C14" s="6"/>
      <c r="D14" s="10">
        <v>119353</v>
      </c>
      <c r="E14" s="10">
        <v>120330</v>
      </c>
      <c r="F14" s="7">
        <f>(E14-D14)*1</f>
        <v>977</v>
      </c>
      <c r="G14" s="6">
        <v>0</v>
      </c>
      <c r="H14" s="6">
        <v>0</v>
      </c>
      <c r="I14" s="6">
        <f>F14-G14-H14</f>
        <v>977</v>
      </c>
      <c r="J14" s="7">
        <f t="shared" si="0"/>
        <v>0.13897502716911994</v>
      </c>
    </row>
    <row r="15" spans="1:10" ht="15">
      <c r="A15" s="35"/>
      <c r="B15" s="4" t="s">
        <v>18</v>
      </c>
      <c r="C15" s="6"/>
      <c r="D15" s="10">
        <v>153219</v>
      </c>
      <c r="E15" s="10">
        <v>154540</v>
      </c>
      <c r="F15" s="7">
        <f>(E15-D15)*1</f>
        <v>1321</v>
      </c>
      <c r="G15" s="6">
        <v>0</v>
      </c>
      <c r="H15" s="6">
        <v>0</v>
      </c>
      <c r="I15" s="6">
        <f>F15-G15-H15</f>
        <v>1321</v>
      </c>
      <c r="J15" s="7">
        <f t="shared" si="0"/>
        <v>0.1879078924159749</v>
      </c>
    </row>
    <row r="16" spans="1:12" ht="15">
      <c r="A16" s="23"/>
      <c r="B16" s="23" t="s">
        <v>14</v>
      </c>
      <c r="C16" s="23"/>
      <c r="D16" s="8"/>
      <c r="E16" s="23"/>
      <c r="F16" s="24">
        <f>SUM(F11:F15)</f>
        <v>5226</v>
      </c>
      <c r="G16" s="24">
        <f>SUM(G11:G15)</f>
        <v>0</v>
      </c>
      <c r="H16" s="24">
        <f>SUM(H11:H15)</f>
        <v>0</v>
      </c>
      <c r="I16" s="24">
        <f>SUM(I11:I15)</f>
        <v>5226</v>
      </c>
      <c r="J16" s="7">
        <f t="shared" si="0"/>
        <v>0.7433812609885577</v>
      </c>
      <c r="K16" s="15"/>
      <c r="L16" s="9"/>
    </row>
    <row r="17" spans="1:12" ht="15">
      <c r="A17" s="11"/>
      <c r="B17" s="11"/>
      <c r="C17" s="11"/>
      <c r="D17" s="12"/>
      <c r="E17" s="14" t="s">
        <v>20</v>
      </c>
      <c r="F17" s="13">
        <f>F11+F13+F14</f>
        <v>2495</v>
      </c>
      <c r="G17" s="13">
        <f>G11+G13+G14</f>
        <v>0</v>
      </c>
      <c r="H17" s="13">
        <f>H11+H13+H14</f>
        <v>0</v>
      </c>
      <c r="I17" s="13">
        <f>I11+I13+I14</f>
        <v>2495</v>
      </c>
      <c r="J17" s="7">
        <f t="shared" si="0"/>
        <v>0.3549055197409972</v>
      </c>
      <c r="K17" s="15"/>
      <c r="L17" s="9"/>
    </row>
    <row r="18" spans="1:10" ht="15">
      <c r="A18" s="11"/>
      <c r="B18" s="11"/>
      <c r="C18" s="11"/>
      <c r="D18" s="12"/>
      <c r="E18" s="14" t="s">
        <v>21</v>
      </c>
      <c r="F18" s="13">
        <f>F12+F15</f>
        <v>2731</v>
      </c>
      <c r="G18" s="13">
        <f>G12+G15</f>
        <v>0</v>
      </c>
      <c r="H18" s="13">
        <f>H12+H15</f>
        <v>0</v>
      </c>
      <c r="I18" s="13">
        <f>I12+I15</f>
        <v>2731</v>
      </c>
      <c r="J18" s="7">
        <f t="shared" si="0"/>
        <v>0.38847574124756046</v>
      </c>
    </row>
    <row r="19" spans="1:8" ht="15">
      <c r="A19" s="1"/>
      <c r="B19" s="1"/>
      <c r="C19" s="1"/>
      <c r="D19" s="1"/>
      <c r="E19" s="1"/>
      <c r="F19" s="12"/>
      <c r="G19" s="9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44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51.26</f>
        <v>51.26</v>
      </c>
      <c r="E7" s="22">
        <f>E8*0.0478+0.0019</f>
        <v>26.727358000000002</v>
      </c>
      <c r="F7" s="22">
        <v>0</v>
      </c>
      <c r="G7" s="27">
        <f>25.3233*0.0478+0.0002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616.4</f>
        <v>616.4</v>
      </c>
      <c r="E8" s="27">
        <f>312.65-52+288.05+10.41</f>
        <v>559.11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45</v>
      </c>
      <c r="D9" s="6">
        <f>75870-74984</f>
        <v>886</v>
      </c>
      <c r="E9" s="27">
        <f>384.12-64.02+429.85+20.03</f>
        <v>769.98</v>
      </c>
      <c r="F9" s="27">
        <v>0</v>
      </c>
      <c r="G9" s="27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1502.4</v>
      </c>
      <c r="E10" s="27">
        <f>567.04+710.56+24.91+8.86+17.72</f>
        <v>1329.09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v>6902</v>
      </c>
      <c r="E11" s="27">
        <f>5859</f>
        <v>5859</v>
      </c>
      <c r="F11" s="27">
        <v>0</v>
      </c>
      <c r="G11" s="27">
        <f>D11-E11-F11-0.0003</f>
        <v>1042.9997</v>
      </c>
      <c r="H11" s="7">
        <f t="shared" si="0"/>
        <v>0.14844435114286528</v>
      </c>
    </row>
    <row r="12" spans="1:8" ht="15">
      <c r="A12" s="34"/>
      <c r="B12" s="26" t="s">
        <v>31</v>
      </c>
      <c r="C12" s="6"/>
      <c r="D12" s="7">
        <v>9730</v>
      </c>
      <c r="E12" s="27">
        <f>8135</f>
        <v>8135</v>
      </c>
      <c r="F12" s="27">
        <v>0</v>
      </c>
      <c r="G12" s="27">
        <f>D12-E12-F12+0.0003</f>
        <v>1595.0003</v>
      </c>
      <c r="H12" s="7">
        <f t="shared" si="0"/>
        <v>0.2270075289630241</v>
      </c>
    </row>
    <row r="13" spans="1:8" ht="15">
      <c r="A13" s="23"/>
      <c r="B13" s="23" t="s">
        <v>14</v>
      </c>
      <c r="C13" s="23"/>
      <c r="D13" s="24">
        <f>SUM(D11:D12)</f>
        <v>16632</v>
      </c>
      <c r="E13" s="28">
        <f>SUM(E11:E12)</f>
        <v>13994</v>
      </c>
      <c r="F13" s="28">
        <f>SUM(F11:F12)</f>
        <v>0</v>
      </c>
      <c r="G13" s="28">
        <f>SUM(G11:G12)</f>
        <v>2638</v>
      </c>
      <c r="H13" s="7">
        <f t="shared" si="0"/>
        <v>0.37545188010588937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H4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47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54.56</f>
        <v>54.56</v>
      </c>
      <c r="E7" s="22">
        <f>E8*0.0478+0.001</f>
        <v>25.802590259400006</v>
      </c>
      <c r="F7" s="22">
        <v>0</v>
      </c>
      <c r="G7" s="27">
        <f>25.3233*0.0478+0.0002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573.5</f>
        <v>573.5</v>
      </c>
      <c r="E8" s="27">
        <f>295.2719-49.109677+282.11+11.51</f>
        <v>539.782223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46</v>
      </c>
      <c r="D9" s="6">
        <f>76744-75870</f>
        <v>874</v>
      </c>
      <c r="E9" s="27">
        <f>363.0929-60.515484+406.22+20.35</f>
        <v>729.147416</v>
      </c>
      <c r="F9" s="27">
        <v>0</v>
      </c>
      <c r="G9" s="27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1447.5</v>
      </c>
      <c r="E10" s="27">
        <f>535.0296+678.98+28.34+8.86+17.72</f>
        <v>1268.9295999999997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8062</f>
        <v>8062</v>
      </c>
      <c r="E11" s="27">
        <f>40650</f>
        <v>40650</v>
      </c>
      <c r="F11" s="27">
        <v>0</v>
      </c>
      <c r="G11" s="27">
        <f>-12964.959</f>
        <v>-12964.959</v>
      </c>
      <c r="H11" s="7">
        <f t="shared" si="0"/>
        <v>-1.8452305655973358</v>
      </c>
    </row>
    <row r="12" spans="1:8" ht="15">
      <c r="A12" s="34"/>
      <c r="B12" s="26" t="s">
        <v>31</v>
      </c>
      <c r="C12" s="6"/>
      <c r="D12" s="7">
        <f>11460</f>
        <v>11460</v>
      </c>
      <c r="E12" s="27">
        <f>4285</f>
        <v>4285</v>
      </c>
      <c r="F12" s="27">
        <v>0</v>
      </c>
      <c r="G12" s="27">
        <v>-3971.3387</v>
      </c>
      <c r="H12" s="7">
        <f t="shared" si="0"/>
        <v>-0.5652185676468077</v>
      </c>
    </row>
    <row r="13" spans="1:8" ht="15">
      <c r="A13" s="23"/>
      <c r="B13" s="23" t="s">
        <v>14</v>
      </c>
      <c r="C13" s="23"/>
      <c r="D13" s="24">
        <f>SUM(D11:D12)</f>
        <v>19522</v>
      </c>
      <c r="E13" s="28">
        <f>SUM(E11:E12)</f>
        <v>44935</v>
      </c>
      <c r="F13" s="28">
        <f>SUM(F11:F12)</f>
        <v>0</v>
      </c>
      <c r="G13" s="28">
        <f>SUM(G11:G12)</f>
        <v>-16936.2977</v>
      </c>
      <c r="H13" s="7">
        <f t="shared" si="0"/>
        <v>-2.410449133244143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48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61.11</f>
        <v>61.11</v>
      </c>
      <c r="E7" s="22">
        <f>E8*0.0478+0.0019</f>
        <v>26.483100000000007</v>
      </c>
      <c r="F7" s="22">
        <v>0</v>
      </c>
      <c r="G7" s="27">
        <f>G8*0.0478+0.0002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658.4</f>
        <v>658.4</v>
      </c>
      <c r="E8" s="27">
        <f>392.7-112+272.22+1.08</f>
        <v>554.0000000000001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49</v>
      </c>
      <c r="D9" s="6">
        <f>77782-76744</f>
        <v>1038</v>
      </c>
      <c r="E9" s="27">
        <f>441.35-126.1+394.03+0.09</f>
        <v>709.37</v>
      </c>
      <c r="F9" s="27">
        <v>0</v>
      </c>
      <c r="G9" s="27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1696.4</v>
      </c>
      <c r="E10" s="27">
        <f>558.18+585.21+45.32+52.45+1.29+17.72+3.2</f>
        <v>1263.37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5290</f>
        <v>5290</v>
      </c>
      <c r="E11" s="27">
        <f>12920</f>
        <v>12920</v>
      </c>
      <c r="F11" s="27">
        <v>0</v>
      </c>
      <c r="G11" s="27">
        <f>D11-E11-F11+974.5299</f>
        <v>-6655.4701000000005</v>
      </c>
      <c r="H11" s="7">
        <f t="shared" si="0"/>
        <v>-0.9472360735532721</v>
      </c>
    </row>
    <row r="12" spans="1:8" ht="15">
      <c r="A12" s="34"/>
      <c r="B12" s="26" t="s">
        <v>31</v>
      </c>
      <c r="C12" s="6"/>
      <c r="D12" s="7">
        <f>7520</f>
        <v>7520</v>
      </c>
      <c r="E12" s="27">
        <f>9598</f>
        <v>9598</v>
      </c>
      <c r="F12" s="27">
        <v>0</v>
      </c>
      <c r="G12" s="27">
        <f>D12-E12-F12-303.4067</f>
        <v>-2381.4067</v>
      </c>
      <c r="H12" s="7">
        <f t="shared" si="0"/>
        <v>-0.33893238165722583</v>
      </c>
    </row>
    <row r="13" spans="1:8" ht="15">
      <c r="A13" s="23"/>
      <c r="B13" s="23" t="s">
        <v>14</v>
      </c>
      <c r="C13" s="23"/>
      <c r="D13" s="24">
        <f>SUM(D11:D12)</f>
        <v>12810</v>
      </c>
      <c r="E13" s="28">
        <f>SUM(E11:E12)</f>
        <v>22518</v>
      </c>
      <c r="F13" s="28">
        <f>SUM(F11:F12)</f>
        <v>0</v>
      </c>
      <c r="G13" s="28">
        <f>SUM(G11:G12)</f>
        <v>-9036.8768</v>
      </c>
      <c r="H13" s="7">
        <f t="shared" si="0"/>
        <v>-1.286168455210498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6" t="s">
        <v>26</v>
      </c>
    </row>
    <row r="4" spans="1:10" ht="15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77.25" customHeight="1">
      <c r="A5" s="29" t="s">
        <v>0</v>
      </c>
      <c r="B5" s="31" t="s">
        <v>1</v>
      </c>
      <c r="C5" s="29" t="s">
        <v>2</v>
      </c>
      <c r="D5" s="37" t="s">
        <v>7</v>
      </c>
      <c r="E5" s="38"/>
      <c r="F5" s="29" t="s">
        <v>11</v>
      </c>
      <c r="G5" s="29" t="s">
        <v>3</v>
      </c>
      <c r="H5" s="29" t="s">
        <v>4</v>
      </c>
      <c r="I5" s="29" t="s">
        <v>5</v>
      </c>
      <c r="J5" s="31" t="s">
        <v>6</v>
      </c>
    </row>
    <row r="6" spans="1:10" ht="15.75">
      <c r="A6" s="30"/>
      <c r="B6" s="32"/>
      <c r="C6" s="30"/>
      <c r="D6" s="17" t="s">
        <v>12</v>
      </c>
      <c r="E6" s="19" t="s">
        <v>13</v>
      </c>
      <c r="F6" s="30"/>
      <c r="G6" s="30"/>
      <c r="H6" s="30"/>
      <c r="I6" s="30"/>
      <c r="J6" s="32"/>
    </row>
    <row r="7" spans="1:12" ht="15.75">
      <c r="A7" s="20">
        <v>1</v>
      </c>
      <c r="B7" s="21" t="s">
        <v>23</v>
      </c>
      <c r="C7" s="18"/>
      <c r="D7" s="17"/>
      <c r="E7" s="19"/>
      <c r="F7" s="22">
        <f>47.8</f>
        <v>47.8</v>
      </c>
      <c r="G7" s="22">
        <f>G8*0.0478</f>
        <v>29.85292118</v>
      </c>
      <c r="H7" s="22">
        <v>0</v>
      </c>
      <c r="I7" s="6">
        <f>25.3071*0.0478</f>
        <v>1.20967938</v>
      </c>
      <c r="J7" s="7">
        <f>I7/7030.04</f>
        <v>0.00017207290143441575</v>
      </c>
      <c r="L7" s="9"/>
    </row>
    <row r="8" spans="1:12" ht="15">
      <c r="A8" s="3">
        <v>2</v>
      </c>
      <c r="B8" s="4" t="s">
        <v>9</v>
      </c>
      <c r="C8" s="7"/>
      <c r="D8" s="5"/>
      <c r="E8" s="5"/>
      <c r="F8" s="6">
        <f>560.78</f>
        <v>560.78</v>
      </c>
      <c r="G8" s="6">
        <f>313.1681+293.52+17.85</f>
        <v>624.5381</v>
      </c>
      <c r="H8" s="6">
        <v>0</v>
      </c>
      <c r="I8" s="6">
        <f>F8-G8-H8</f>
        <v>-63.75810000000001</v>
      </c>
      <c r="J8" s="7">
        <f aca="true" t="shared" si="0" ref="J8:J18">I8/7030.04</f>
        <v>-0.009069379406091574</v>
      </c>
      <c r="L8" s="9"/>
    </row>
    <row r="9" spans="1:12" ht="15">
      <c r="A9" s="3">
        <v>3</v>
      </c>
      <c r="B9" s="4" t="s">
        <v>22</v>
      </c>
      <c r="C9" s="6" t="s">
        <v>27</v>
      </c>
      <c r="D9" s="5"/>
      <c r="E9" s="5"/>
      <c r="F9" s="6">
        <f>68900-68018</f>
        <v>882</v>
      </c>
      <c r="G9" s="6">
        <f>354.5194+422.83+3.97</f>
        <v>781.3194000000001</v>
      </c>
      <c r="H9" s="6">
        <v>0</v>
      </c>
      <c r="I9" s="6">
        <f>25.3071</f>
        <v>25.3071</v>
      </c>
      <c r="J9" s="7">
        <f t="shared" si="0"/>
        <v>0.0035998514944438438</v>
      </c>
      <c r="L9" s="9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1442.78</v>
      </c>
      <c r="G10" s="6">
        <f>621.0574+672.79+21.07+64.36+26.58</f>
        <v>1405.8573999999999</v>
      </c>
      <c r="H10" s="6">
        <f>H8+H9</f>
        <v>0</v>
      </c>
      <c r="I10" s="6">
        <v>0</v>
      </c>
      <c r="J10" s="7">
        <f t="shared" si="0"/>
        <v>0</v>
      </c>
    </row>
    <row r="11" spans="1:10" ht="15">
      <c r="A11" s="33">
        <v>5</v>
      </c>
      <c r="B11" s="4" t="s">
        <v>15</v>
      </c>
      <c r="C11" s="6"/>
      <c r="D11" s="5">
        <v>14723</v>
      </c>
      <c r="E11" s="5">
        <v>14856</v>
      </c>
      <c r="F11" s="7">
        <f>(E11-D11)*10</f>
        <v>1330</v>
      </c>
      <c r="G11" s="6">
        <v>0</v>
      </c>
      <c r="H11" s="6">
        <v>0</v>
      </c>
      <c r="I11" s="6">
        <f>F11-G11-H11</f>
        <v>1330</v>
      </c>
      <c r="J11" s="7">
        <f t="shared" si="0"/>
        <v>0.18918811272766584</v>
      </c>
    </row>
    <row r="12" spans="1:10" ht="15">
      <c r="A12" s="34"/>
      <c r="B12" s="4" t="s">
        <v>16</v>
      </c>
      <c r="C12" s="6"/>
      <c r="D12" s="10">
        <v>13965</v>
      </c>
      <c r="E12" s="10">
        <v>14095</v>
      </c>
      <c r="F12" s="7">
        <f>(E12-D12)*10</f>
        <v>1300</v>
      </c>
      <c r="G12" s="6">
        <v>0</v>
      </c>
      <c r="H12" s="6">
        <v>0</v>
      </c>
      <c r="I12" s="6">
        <f>F12-G12-H12</f>
        <v>1300</v>
      </c>
      <c r="J12" s="7">
        <f t="shared" si="0"/>
        <v>0.18492071168869595</v>
      </c>
    </row>
    <row r="13" spans="1:10" ht="15">
      <c r="A13" s="34"/>
      <c r="B13" s="4" t="s">
        <v>17</v>
      </c>
      <c r="C13" s="6"/>
      <c r="D13" s="10">
        <v>6353</v>
      </c>
      <c r="E13" s="10">
        <v>6403</v>
      </c>
      <c r="F13" s="7">
        <f>(E13-D13)*4</f>
        <v>200</v>
      </c>
      <c r="G13" s="6">
        <v>0</v>
      </c>
      <c r="H13" s="6">
        <v>0</v>
      </c>
      <c r="I13" s="6">
        <f>F13-G13-H13</f>
        <v>200</v>
      </c>
      <c r="J13" s="7">
        <f t="shared" si="0"/>
        <v>0.028449340259799377</v>
      </c>
    </row>
    <row r="14" spans="1:10" ht="15">
      <c r="A14" s="34"/>
      <c r="B14" s="4" t="s">
        <v>19</v>
      </c>
      <c r="C14" s="6"/>
      <c r="D14" s="10">
        <v>120330</v>
      </c>
      <c r="E14" s="10">
        <v>121277</v>
      </c>
      <c r="F14" s="7">
        <f>(E14-D14)*1</f>
        <v>947</v>
      </c>
      <c r="G14" s="6">
        <v>0</v>
      </c>
      <c r="H14" s="6">
        <v>0</v>
      </c>
      <c r="I14" s="6">
        <f>F14-G14-H14</f>
        <v>947</v>
      </c>
      <c r="J14" s="7">
        <f t="shared" si="0"/>
        <v>0.13470762613015005</v>
      </c>
    </row>
    <row r="15" spans="1:10" ht="15">
      <c r="A15" s="35"/>
      <c r="B15" s="4" t="s">
        <v>18</v>
      </c>
      <c r="C15" s="6"/>
      <c r="D15" s="10">
        <v>154540</v>
      </c>
      <c r="E15" s="10">
        <v>155856</v>
      </c>
      <c r="F15" s="7">
        <f>(E15-D15)*1</f>
        <v>1316</v>
      </c>
      <c r="G15" s="6">
        <v>0</v>
      </c>
      <c r="H15" s="6">
        <v>0</v>
      </c>
      <c r="I15" s="6">
        <f>F15-G15-H15</f>
        <v>1316</v>
      </c>
      <c r="J15" s="7">
        <f t="shared" si="0"/>
        <v>0.1871966589094799</v>
      </c>
    </row>
    <row r="16" spans="1:12" ht="15">
      <c r="A16" s="23"/>
      <c r="B16" s="23" t="s">
        <v>14</v>
      </c>
      <c r="C16" s="23"/>
      <c r="D16" s="8"/>
      <c r="E16" s="23"/>
      <c r="F16" s="24">
        <f>SUM(F11:F15)</f>
        <v>5093</v>
      </c>
      <c r="G16" s="24">
        <f>SUM(G11:G15)</f>
        <v>0</v>
      </c>
      <c r="H16" s="24">
        <f>SUM(H11:H15)</f>
        <v>0</v>
      </c>
      <c r="I16" s="24">
        <f>SUM(I11:I15)</f>
        <v>5093</v>
      </c>
      <c r="J16" s="7">
        <f t="shared" si="0"/>
        <v>0.7244624497157911</v>
      </c>
      <c r="K16" s="15"/>
      <c r="L16" s="9"/>
    </row>
    <row r="17" spans="1:12" ht="15">
      <c r="A17" s="11"/>
      <c r="B17" s="11"/>
      <c r="C17" s="11"/>
      <c r="D17" s="12"/>
      <c r="E17" s="14" t="s">
        <v>20</v>
      </c>
      <c r="F17" s="13">
        <f>F11+F13+F14</f>
        <v>2477</v>
      </c>
      <c r="G17" s="13">
        <f>G11+G13+G14</f>
        <v>0</v>
      </c>
      <c r="H17" s="13">
        <f>H11+H13+H14</f>
        <v>0</v>
      </c>
      <c r="I17" s="13">
        <f>I11+I13+I14</f>
        <v>2477</v>
      </c>
      <c r="J17" s="7">
        <f t="shared" si="0"/>
        <v>0.35234507911761526</v>
      </c>
      <c r="K17" s="15"/>
      <c r="L17" s="9"/>
    </row>
    <row r="18" spans="1:10" ht="15">
      <c r="A18" s="11"/>
      <c r="B18" s="11"/>
      <c r="C18" s="11"/>
      <c r="D18" s="12"/>
      <c r="E18" s="14" t="s">
        <v>21</v>
      </c>
      <c r="F18" s="13">
        <f>F12+F15</f>
        <v>2616</v>
      </c>
      <c r="G18" s="13">
        <f>G12+G15</f>
        <v>0</v>
      </c>
      <c r="H18" s="13">
        <f>H12+H15</f>
        <v>0</v>
      </c>
      <c r="I18" s="13">
        <f>I12+I15</f>
        <v>2616</v>
      </c>
      <c r="J18" s="7">
        <f t="shared" si="0"/>
        <v>0.37211737059817585</v>
      </c>
    </row>
    <row r="19" spans="1:8" ht="15">
      <c r="A19" s="1"/>
      <c r="B19" s="1"/>
      <c r="C19" s="1"/>
      <c r="D19" s="1"/>
      <c r="E19" s="1"/>
      <c r="F19" s="12"/>
      <c r="G19" s="9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28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59.28</f>
        <v>59.28</v>
      </c>
      <c r="E7" s="22">
        <f>E8*0.0478</f>
        <v>29.079129999999996</v>
      </c>
      <c r="F7" s="22">
        <v>0</v>
      </c>
      <c r="G7" s="6">
        <f>25.3071*0.0478</f>
        <v>1.20967938</v>
      </c>
      <c r="H7" s="7">
        <f>G7/7030.04</f>
        <v>0.00017207290143441575</v>
      </c>
      <c r="J7" s="9"/>
    </row>
    <row r="8" spans="1:10" ht="15">
      <c r="A8" s="3">
        <v>2</v>
      </c>
      <c r="B8" s="4" t="s">
        <v>9</v>
      </c>
      <c r="C8" s="7"/>
      <c r="D8" s="6">
        <v>532.21</v>
      </c>
      <c r="E8" s="6">
        <f>308.77+291.8+7.78</f>
        <v>608.3499999999999</v>
      </c>
      <c r="F8" s="6">
        <v>0</v>
      </c>
      <c r="G8" s="6">
        <f>-71.6081</f>
        <v>-71.6081</v>
      </c>
      <c r="H8" s="7">
        <f aca="true" t="shared" si="0" ref="H8:H13">G8/7030.04</f>
        <v>-0.010186016011288697</v>
      </c>
      <c r="J8" s="9"/>
    </row>
    <row r="9" spans="1:10" ht="15">
      <c r="A9" s="3">
        <v>3</v>
      </c>
      <c r="B9" s="4" t="s">
        <v>22</v>
      </c>
      <c r="C9" s="6" t="s">
        <v>29</v>
      </c>
      <c r="D9" s="6">
        <f>69762-68900</f>
        <v>862</v>
      </c>
      <c r="E9" s="6">
        <f>349.2+414.2+4.38</f>
        <v>767.78</v>
      </c>
      <c r="F9" s="6">
        <v>0</v>
      </c>
      <c r="G9" s="6">
        <v>25.3071</v>
      </c>
      <c r="H9" s="7">
        <f t="shared" si="0"/>
        <v>0.0035998514944438438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1394.21</v>
      </c>
      <c r="E10" s="6">
        <f>611.34+664.17+9.29+64.75+26.58</f>
        <v>1376.1299999999999</v>
      </c>
      <c r="F10" s="6">
        <f>F8+F9</f>
        <v>0</v>
      </c>
      <c r="G10" s="6">
        <v>0</v>
      </c>
      <c r="H10" s="7">
        <f t="shared" si="0"/>
        <v>0</v>
      </c>
    </row>
    <row r="11" spans="1:8" ht="15">
      <c r="A11" s="33">
        <v>5</v>
      </c>
      <c r="B11" s="25" t="s">
        <v>30</v>
      </c>
      <c r="C11" s="6"/>
      <c r="D11" s="7">
        <v>11872</v>
      </c>
      <c r="E11" s="6">
        <v>15348</v>
      </c>
      <c r="F11" s="6">
        <v>0</v>
      </c>
      <c r="G11" s="6">
        <f>D11-E11-F11</f>
        <v>-3476</v>
      </c>
      <c r="H11" s="7">
        <f t="shared" si="0"/>
        <v>-0.49444953371531314</v>
      </c>
    </row>
    <row r="12" spans="1:8" ht="15">
      <c r="A12" s="34"/>
      <c r="B12" s="25" t="s">
        <v>31</v>
      </c>
      <c r="C12" s="6"/>
      <c r="D12" s="7">
        <v>11170</v>
      </c>
      <c r="E12" s="6">
        <v>6243</v>
      </c>
      <c r="F12" s="6">
        <v>0</v>
      </c>
      <c r="G12" s="6">
        <f>D12-E12-F12</f>
        <v>4927</v>
      </c>
      <c r="H12" s="7">
        <f t="shared" si="0"/>
        <v>0.7008494973001577</v>
      </c>
    </row>
    <row r="13" spans="1:8" ht="15">
      <c r="A13" s="23"/>
      <c r="B13" s="23" t="s">
        <v>14</v>
      </c>
      <c r="C13" s="23"/>
      <c r="D13" s="24">
        <f>SUM(D11:D12)</f>
        <v>23042</v>
      </c>
      <c r="E13" s="24">
        <f>SUM(E11:E12)</f>
        <v>21591</v>
      </c>
      <c r="F13" s="24">
        <f>SUM(F11:F12)</f>
        <v>0</v>
      </c>
      <c r="G13" s="24">
        <f>SUM(G11:G12)</f>
        <v>1451</v>
      </c>
      <c r="H13" s="7">
        <f t="shared" si="0"/>
        <v>0.20639996358484447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32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50.89</f>
        <v>50.89</v>
      </c>
      <c r="E7" s="22">
        <f>E8*0.0478</f>
        <v>34.25469890000001</v>
      </c>
      <c r="F7" s="22">
        <v>0</v>
      </c>
      <c r="G7" s="6">
        <f>25.3233*0.0478</f>
        <v>1.21045374</v>
      </c>
      <c r="H7" s="7">
        <f>G7/7030.04</f>
        <v>0.0001721830515900336</v>
      </c>
      <c r="J7" s="9"/>
    </row>
    <row r="8" spans="1:10" ht="15">
      <c r="A8" s="3">
        <v>2</v>
      </c>
      <c r="B8" s="4" t="s">
        <v>9</v>
      </c>
      <c r="C8" s="7"/>
      <c r="D8" s="6">
        <f>555.8</f>
        <v>555.8</v>
      </c>
      <c r="E8" s="6">
        <f>277.5955+344.1+94.93</f>
        <v>716.6255000000001</v>
      </c>
      <c r="F8" s="6">
        <v>0</v>
      </c>
      <c r="G8" s="6">
        <f>-154.2915</f>
        <v>-154.2915</v>
      </c>
      <c r="H8" s="7">
        <f aca="true" t="shared" si="0" ref="H8:H13">G8/7030.04</f>
        <v>-0.02194745691347418</v>
      </c>
      <c r="J8" s="9"/>
    </row>
    <row r="9" spans="1:10" ht="15">
      <c r="A9" s="3">
        <v>3</v>
      </c>
      <c r="B9" s="4" t="s">
        <v>22</v>
      </c>
      <c r="C9" s="6" t="s">
        <v>33</v>
      </c>
      <c r="D9" s="6">
        <f>689+209</f>
        <v>898</v>
      </c>
      <c r="E9" s="6">
        <f>334.65+338.19+7.34</f>
        <v>680.18</v>
      </c>
      <c r="F9" s="6">
        <v>0</v>
      </c>
      <c r="G9" s="6">
        <f>25.3233</f>
        <v>25.3233</v>
      </c>
      <c r="H9" s="7">
        <f t="shared" si="0"/>
        <v>0.0036021558910048876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1453.8</v>
      </c>
      <c r="E10" s="6">
        <f>584.76+720.18+18.58+63.7803+26.58</f>
        <v>1413.8802999999998</v>
      </c>
      <c r="F10" s="6">
        <f>F8+F9</f>
        <v>0</v>
      </c>
      <c r="G10" s="6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7204</f>
        <v>7204</v>
      </c>
      <c r="E11" s="6">
        <f>-34469</f>
        <v>-34469</v>
      </c>
      <c r="F11" s="6">
        <v>0</v>
      </c>
      <c r="G11" s="6">
        <f>15572.5</f>
        <v>15572.5</v>
      </c>
      <c r="H11" s="7">
        <f t="shared" si="0"/>
        <v>2.215136755978629</v>
      </c>
    </row>
    <row r="12" spans="1:8" ht="15">
      <c r="A12" s="34"/>
      <c r="B12" s="26" t="s">
        <v>31</v>
      </c>
      <c r="C12" s="6"/>
      <c r="D12" s="7">
        <f>6780</f>
        <v>6780</v>
      </c>
      <c r="E12" s="6">
        <f>17663</f>
        <v>17663</v>
      </c>
      <c r="F12" s="6">
        <v>0</v>
      </c>
      <c r="G12" s="6">
        <f>D12-E12-F12</f>
        <v>-10883</v>
      </c>
      <c r="H12" s="7">
        <f t="shared" si="0"/>
        <v>-1.548070850236983</v>
      </c>
    </row>
    <row r="13" spans="1:8" ht="15">
      <c r="A13" s="23"/>
      <c r="B13" s="23" t="s">
        <v>14</v>
      </c>
      <c r="C13" s="23"/>
      <c r="D13" s="24">
        <f>SUM(D11:D12)</f>
        <v>13984</v>
      </c>
      <c r="E13" s="24">
        <f>SUM(E11:E12)</f>
        <v>-16806</v>
      </c>
      <c r="F13" s="24">
        <f>SUM(F11:F12)</f>
        <v>0</v>
      </c>
      <c r="G13" s="24">
        <f>SUM(G11:G12)</f>
        <v>4689.5</v>
      </c>
      <c r="H13" s="7">
        <f t="shared" si="0"/>
        <v>0.6670659057416458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34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43.84</f>
        <v>43.84</v>
      </c>
      <c r="E7" s="22">
        <f>E8*0.0478+0.0017</f>
        <v>35.614851</v>
      </c>
      <c r="F7" s="22">
        <v>0</v>
      </c>
      <c r="G7" s="27">
        <f>25.3233*0.0478+0.0002</f>
        <v>1.21065374</v>
      </c>
      <c r="H7" s="7">
        <f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681.9</f>
        <v>681.9</v>
      </c>
      <c r="E8" s="27">
        <f>394.695-35.8+362.72+23.43</f>
        <v>745.045</v>
      </c>
      <c r="F8" s="27">
        <v>0</v>
      </c>
      <c r="G8" s="27">
        <f>-60.4391</f>
        <v>-60.4391</v>
      </c>
      <c r="H8" s="7">
        <f aca="true" t="shared" si="0" ref="H8:H13">G8/7026.2</f>
        <v>-0.008601961230821782</v>
      </c>
      <c r="J8" s="9"/>
    </row>
    <row r="9" spans="1:10" ht="15">
      <c r="A9" s="3">
        <v>3</v>
      </c>
      <c r="B9" s="4" t="s">
        <v>22</v>
      </c>
      <c r="C9" s="6" t="s">
        <v>35</v>
      </c>
      <c r="D9" s="6">
        <f>71544-70660</f>
        <v>884</v>
      </c>
      <c r="E9" s="27">
        <f>391.5773-35.264+0.0001+519.08+48.13</f>
        <v>923.5233999999999</v>
      </c>
      <c r="F9" s="27">
        <v>0</v>
      </c>
      <c r="G9" s="27">
        <f>-39.2088</f>
        <v>-39.2088</v>
      </c>
      <c r="H9" s="7">
        <f t="shared" si="0"/>
        <v>-0.0055803706128490504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1565.9</v>
      </c>
      <c r="E10" s="27">
        <f>688.6974-71.064+843.21+56.61+122.325+0.77+26.58+1.44</f>
        <v>1668.5684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7150</f>
        <v>7150</v>
      </c>
      <c r="E11" s="6">
        <f>4818</f>
        <v>4818</v>
      </c>
      <c r="F11" s="6">
        <v>0</v>
      </c>
      <c r="G11" s="6">
        <f>D11-E11-F11</f>
        <v>2332</v>
      </c>
      <c r="H11" s="7">
        <f t="shared" si="0"/>
        <v>0.3319006006091486</v>
      </c>
    </row>
    <row r="12" spans="1:8" ht="15">
      <c r="A12" s="34"/>
      <c r="B12" s="26" t="s">
        <v>31</v>
      </c>
      <c r="C12" s="6"/>
      <c r="D12" s="7">
        <f>8410</f>
        <v>8410</v>
      </c>
      <c r="E12" s="6">
        <f>5892</f>
        <v>5892</v>
      </c>
      <c r="F12" s="6">
        <v>0</v>
      </c>
      <c r="G12" s="6">
        <f>2202.8539+154.6456</f>
        <v>2357.4995</v>
      </c>
      <c r="H12" s="7">
        <f t="shared" si="0"/>
        <v>0.3355298027383223</v>
      </c>
    </row>
    <row r="13" spans="1:8" ht="15">
      <c r="A13" s="23"/>
      <c r="B13" s="23" t="s">
        <v>14</v>
      </c>
      <c r="C13" s="23"/>
      <c r="D13" s="24">
        <f>SUM(D11:D12)</f>
        <v>15560</v>
      </c>
      <c r="E13" s="24">
        <f>SUM(E11:E12)</f>
        <v>10710</v>
      </c>
      <c r="F13" s="24">
        <f>SUM(F11:F12)</f>
        <v>0</v>
      </c>
      <c r="G13" s="24">
        <f>SUM(G11:G12)</f>
        <v>4689.4995</v>
      </c>
      <c r="H13" s="7">
        <f t="shared" si="0"/>
        <v>0.667430403347471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36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18.62+23</f>
        <v>41.620000000000005</v>
      </c>
      <c r="E7" s="22">
        <f>E8*0.0478+0.0018</f>
        <v>27.865227819999998</v>
      </c>
      <c r="F7" s="22">
        <v>0</v>
      </c>
      <c r="G7" s="6">
        <f>G8*0.0478+0.0002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350+481.2</f>
        <v>831.2</v>
      </c>
      <c r="E8" s="27">
        <f>390.3858-64.929+245.42+12.04+0.0001</f>
        <v>582.9168999999999</v>
      </c>
      <c r="F8" s="27">
        <v>0</v>
      </c>
      <c r="G8" s="6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37</v>
      </c>
      <c r="D9" s="6">
        <f>72378-71544</f>
        <v>834</v>
      </c>
      <c r="E9" s="27">
        <f>422.0439-70.3406+323.84+22.07</f>
        <v>697.6133000000001</v>
      </c>
      <c r="F9" s="27">
        <v>0</v>
      </c>
      <c r="G9" s="6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1665.2</v>
      </c>
      <c r="E10" s="27">
        <f>738.9565-135.2696+537.7+33.81+75.0432+0.8+26.58+2.91</f>
        <v>1280.5301</v>
      </c>
      <c r="F10" s="27">
        <f>F8+F9</f>
        <v>0</v>
      </c>
      <c r="G10" s="6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6078</f>
        <v>6078</v>
      </c>
      <c r="E11" s="6">
        <f>4406</f>
        <v>4406</v>
      </c>
      <c r="F11" s="6">
        <v>0</v>
      </c>
      <c r="G11" s="6">
        <f>D11-E11-F11+0.0013</f>
        <v>1672.0013</v>
      </c>
      <c r="H11" s="7">
        <f t="shared" si="0"/>
        <v>0.237966653383052</v>
      </c>
    </row>
    <row r="12" spans="1:8" ht="15">
      <c r="A12" s="34"/>
      <c r="B12" s="26" t="s">
        <v>31</v>
      </c>
      <c r="C12" s="6"/>
      <c r="D12" s="7">
        <f>8260</f>
        <v>8260</v>
      </c>
      <c r="E12" s="6">
        <f>7741</f>
        <v>7741</v>
      </c>
      <c r="F12" s="6">
        <v>0</v>
      </c>
      <c r="G12" s="6">
        <f>D12-E12-F12-0.0001</f>
        <v>518.9999</v>
      </c>
      <c r="H12" s="7">
        <f t="shared" si="0"/>
        <v>0.07386637158065527</v>
      </c>
    </row>
    <row r="13" spans="1:8" ht="15">
      <c r="A13" s="23"/>
      <c r="B13" s="23" t="s">
        <v>14</v>
      </c>
      <c r="C13" s="23"/>
      <c r="D13" s="24">
        <f>SUM(D11:D12)</f>
        <v>14338</v>
      </c>
      <c r="E13" s="24">
        <f>SUM(E11:E12)</f>
        <v>12147</v>
      </c>
      <c r="F13" s="24">
        <f>SUM(F11:F12)</f>
        <v>0</v>
      </c>
      <c r="G13" s="24">
        <f>SUM(G11:G12)</f>
        <v>2191.0011999999997</v>
      </c>
      <c r="H13" s="7">
        <f t="shared" si="0"/>
        <v>0.31183302496370724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38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44.54</f>
        <v>44.54</v>
      </c>
      <c r="E7" s="22">
        <f>E8*0.0478-0.0028+0.0052</f>
        <v>15.861737340000001</v>
      </c>
      <c r="F7" s="22">
        <v>0</v>
      </c>
      <c r="G7" s="27">
        <f>G8*0.0478+0.0002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v>931.84</v>
      </c>
      <c r="E8" s="27">
        <f>330.4935+48.27+7.99-54.9677-0.0005</f>
        <v>331.7853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39</v>
      </c>
      <c r="D9" s="6">
        <f>73203-72378</f>
        <v>825</v>
      </c>
      <c r="E9" s="27">
        <f>401.58+296.83+20.63-66.93</f>
        <v>652.1099999999999</v>
      </c>
      <c r="F9" s="27">
        <v>0</v>
      </c>
      <c r="G9" s="27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1756.8400000000001</v>
      </c>
      <c r="E10" s="27">
        <f>576.2235+324+27.99+29.1032+26.58</f>
        <v>983.8967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6080</f>
        <v>6080</v>
      </c>
      <c r="E11" s="27">
        <f>3215</f>
        <v>3215</v>
      </c>
      <c r="F11" s="27">
        <v>0</v>
      </c>
      <c r="G11" s="27">
        <f>D11-E11-F11+0.0003</f>
        <v>2865.0003</v>
      </c>
      <c r="H11" s="7">
        <f t="shared" si="0"/>
        <v>0.4077595713187783</v>
      </c>
    </row>
    <row r="12" spans="1:8" ht="15">
      <c r="A12" s="34"/>
      <c r="B12" s="26" t="s">
        <v>31</v>
      </c>
      <c r="C12" s="6"/>
      <c r="D12" s="7">
        <v>8910</v>
      </c>
      <c r="E12" s="27">
        <f>7355</f>
        <v>7355</v>
      </c>
      <c r="F12" s="27">
        <v>0</v>
      </c>
      <c r="G12" s="27">
        <f>D12-E12-F12-0.0001</f>
        <v>1554.9999</v>
      </c>
      <c r="H12" s="7">
        <f t="shared" si="0"/>
        <v>0.22131449432125475</v>
      </c>
    </row>
    <row r="13" spans="1:8" ht="15">
      <c r="A13" s="23"/>
      <c r="B13" s="23" t="s">
        <v>14</v>
      </c>
      <c r="C13" s="23"/>
      <c r="D13" s="24">
        <f>SUM(D11:D12)</f>
        <v>14990</v>
      </c>
      <c r="E13" s="28">
        <f>SUM(E11:E12)</f>
        <v>10570</v>
      </c>
      <c r="F13" s="28">
        <f>SUM(F11:F12)</f>
        <v>0</v>
      </c>
      <c r="G13" s="28">
        <f>SUM(G11:G12)</f>
        <v>4420.0002</v>
      </c>
      <c r="H13" s="7">
        <f t="shared" si="0"/>
        <v>0.6290740656400331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40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36.04</f>
        <v>36.04</v>
      </c>
      <c r="E7" s="22">
        <f>E8*0.0478+0.0014</f>
        <v>27.219198000000006</v>
      </c>
      <c r="F7" s="22">
        <v>0</v>
      </c>
      <c r="G7" s="27">
        <f>G8*0.0478+0.0002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721.9</f>
        <v>721.9</v>
      </c>
      <c r="E8" s="27">
        <f>341.51-56.8+273.47+11.23</f>
        <v>569.4100000000001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41</v>
      </c>
      <c r="D9" s="6">
        <f>74203-73203</f>
        <v>1000</v>
      </c>
      <c r="E9" s="27">
        <f>401.58-66.93+389.39+11.03</f>
        <v>735.0699999999999</v>
      </c>
      <c r="F9" s="27">
        <v>0</v>
      </c>
      <c r="G9" s="27">
        <f>25.3233</f>
        <v>25.3233</v>
      </c>
      <c r="H9" s="7">
        <f t="shared" si="0"/>
        <v>0.0036041245623523385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1721.9</v>
      </c>
      <c r="E10" s="27">
        <f>584.76+641.21+21.51+30.42+26.58</f>
        <v>1304.48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5954</f>
        <v>5954</v>
      </c>
      <c r="E11" s="27">
        <f>6034</f>
        <v>6034</v>
      </c>
      <c r="F11" s="27">
        <v>0</v>
      </c>
      <c r="G11" s="27">
        <f>D11-E11-F11+11.3071</f>
        <v>-68.6929</v>
      </c>
      <c r="H11" s="7">
        <f t="shared" si="0"/>
        <v>-0.009776678716802822</v>
      </c>
    </row>
    <row r="12" spans="1:8" ht="15">
      <c r="A12" s="34"/>
      <c r="B12" s="26" t="s">
        <v>31</v>
      </c>
      <c r="C12" s="6"/>
      <c r="D12" s="7">
        <f>4800</f>
        <v>4800</v>
      </c>
      <c r="E12" s="27">
        <f>9182</f>
        <v>9182</v>
      </c>
      <c r="F12" s="27">
        <v>0</v>
      </c>
      <c r="G12" s="27">
        <f>D12-E12-F12+529.6338</f>
        <v>-3852.3662</v>
      </c>
      <c r="H12" s="7">
        <f t="shared" si="0"/>
        <v>-0.5482858728758077</v>
      </c>
    </row>
    <row r="13" spans="1:8" ht="15">
      <c r="A13" s="23"/>
      <c r="B13" s="23" t="s">
        <v>14</v>
      </c>
      <c r="C13" s="23"/>
      <c r="D13" s="24">
        <f>SUM(D11:D12)</f>
        <v>10754</v>
      </c>
      <c r="E13" s="28">
        <f>SUM(E11:E12)</f>
        <v>15216</v>
      </c>
      <c r="F13" s="28">
        <f>SUM(F11:F12)</f>
        <v>0</v>
      </c>
      <c r="G13" s="28">
        <f>SUM(G11:G12)</f>
        <v>-3921.0591</v>
      </c>
      <c r="H13" s="7">
        <f t="shared" si="0"/>
        <v>-0.5580625515926105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5" sqref="D5:D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421875" style="0" customWidth="1"/>
    <col min="9" max="9" width="9.57421875" style="0" bestFit="1" customWidth="1"/>
  </cols>
  <sheetData>
    <row r="3" spans="2:3" ht="15.75">
      <c r="B3" s="16" t="s">
        <v>42</v>
      </c>
      <c r="C3" s="16"/>
    </row>
    <row r="4" spans="1:8" ht="15">
      <c r="A4" s="36" t="s">
        <v>8</v>
      </c>
      <c r="B4" s="36"/>
      <c r="C4" s="36"/>
      <c r="D4" s="36"/>
      <c r="E4" s="36"/>
      <c r="F4" s="36"/>
      <c r="G4" s="36"/>
      <c r="H4" s="36"/>
    </row>
    <row r="5" spans="1:8" ht="77.25" customHeight="1">
      <c r="A5" s="29" t="s">
        <v>0</v>
      </c>
      <c r="B5" s="31" t="s">
        <v>1</v>
      </c>
      <c r="C5" s="29" t="s">
        <v>2</v>
      </c>
      <c r="D5" s="29" t="s">
        <v>11</v>
      </c>
      <c r="E5" s="29" t="s">
        <v>3</v>
      </c>
      <c r="F5" s="29" t="s">
        <v>4</v>
      </c>
      <c r="G5" s="29" t="s">
        <v>5</v>
      </c>
      <c r="H5" s="31" t="s">
        <v>6</v>
      </c>
    </row>
    <row r="6" spans="1:8" ht="15" customHeight="1">
      <c r="A6" s="30"/>
      <c r="B6" s="32"/>
      <c r="C6" s="30"/>
      <c r="D6" s="30"/>
      <c r="E6" s="30"/>
      <c r="F6" s="30"/>
      <c r="G6" s="30"/>
      <c r="H6" s="32"/>
    </row>
    <row r="7" spans="1:10" ht="15.75">
      <c r="A7" s="20">
        <v>1</v>
      </c>
      <c r="B7" s="21" t="s">
        <v>23</v>
      </c>
      <c r="C7" s="18"/>
      <c r="D7" s="22">
        <f>40.59</f>
        <v>40.59</v>
      </c>
      <c r="E7" s="22">
        <f>E8*0.0478+0.0015</f>
        <v>25.762354</v>
      </c>
      <c r="F7" s="22">
        <v>0</v>
      </c>
      <c r="G7" s="27">
        <f>G8*0.0478+0.0002</f>
        <v>1.21065374</v>
      </c>
      <c r="H7" s="7">
        <f aca="true" t="shared" si="0" ref="H7:H13">G7/7026.2</f>
        <v>0.00017230561896900174</v>
      </c>
      <c r="J7" s="9"/>
    </row>
    <row r="8" spans="1:10" ht="15">
      <c r="A8" s="3">
        <v>2</v>
      </c>
      <c r="B8" s="4" t="s">
        <v>9</v>
      </c>
      <c r="C8" s="7"/>
      <c r="D8" s="6">
        <f>708.7</f>
        <v>708.7</v>
      </c>
      <c r="E8" s="27">
        <f>312.65-52+265.1+13.18</f>
        <v>538.93</v>
      </c>
      <c r="F8" s="27">
        <v>0</v>
      </c>
      <c r="G8" s="27">
        <f>25.3233</f>
        <v>25.3233</v>
      </c>
      <c r="H8" s="7">
        <f t="shared" si="0"/>
        <v>0.0036041245623523385</v>
      </c>
      <c r="J8" s="9"/>
    </row>
    <row r="9" spans="1:10" ht="15">
      <c r="A9" s="3">
        <v>3</v>
      </c>
      <c r="B9" s="4" t="s">
        <v>22</v>
      </c>
      <c r="C9" s="6" t="s">
        <v>43</v>
      </c>
      <c r="D9" s="6">
        <f>74984-74203</f>
        <v>781</v>
      </c>
      <c r="E9" s="27">
        <f>384.12-64.02+430.85+100.33</f>
        <v>851.2800000000001</v>
      </c>
      <c r="F9" s="27">
        <v>0</v>
      </c>
      <c r="G9" s="27">
        <f>D9-E9-F9+3.1279</f>
        <v>-67.15210000000009</v>
      </c>
      <c r="H9" s="7">
        <f t="shared" si="0"/>
        <v>-0.009557385215336896</v>
      </c>
      <c r="J9" s="9"/>
    </row>
    <row r="10" spans="1:8" ht="15">
      <c r="A10" s="3">
        <v>4</v>
      </c>
      <c r="B10" s="4" t="s">
        <v>10</v>
      </c>
      <c r="C10" s="6"/>
      <c r="D10" s="6">
        <f>D8+D9</f>
        <v>1489.7</v>
      </c>
      <c r="E10" s="27">
        <f>567.04+778.91+17.68+8.86+17.72</f>
        <v>1390.2099999999998</v>
      </c>
      <c r="F10" s="27">
        <f>F8+F9</f>
        <v>0</v>
      </c>
      <c r="G10" s="27">
        <v>0</v>
      </c>
      <c r="H10" s="7">
        <f t="shared" si="0"/>
        <v>0</v>
      </c>
    </row>
    <row r="11" spans="1:8" ht="15">
      <c r="A11" s="33">
        <v>5</v>
      </c>
      <c r="B11" s="26" t="s">
        <v>30</v>
      </c>
      <c r="C11" s="6"/>
      <c r="D11" s="7">
        <f>7952</f>
        <v>7952</v>
      </c>
      <c r="E11" s="27">
        <f>1685</f>
        <v>1685</v>
      </c>
      <c r="F11" s="27">
        <v>0</v>
      </c>
      <c r="G11" s="27">
        <f>4689.5004</f>
        <v>4689.5004</v>
      </c>
      <c r="H11" s="7">
        <f t="shared" si="0"/>
        <v>0.6674305314394694</v>
      </c>
    </row>
    <row r="12" spans="1:8" ht="15">
      <c r="A12" s="34"/>
      <c r="B12" s="26" t="s">
        <v>31</v>
      </c>
      <c r="C12" s="6"/>
      <c r="D12" s="7">
        <f>13630</f>
        <v>13630</v>
      </c>
      <c r="E12" s="27">
        <f>11030</f>
        <v>11030</v>
      </c>
      <c r="F12" s="27">
        <v>0</v>
      </c>
      <c r="G12" s="27">
        <v>0</v>
      </c>
      <c r="H12" s="7">
        <f t="shared" si="0"/>
        <v>0</v>
      </c>
    </row>
    <row r="13" spans="1:8" ht="15">
      <c r="A13" s="23"/>
      <c r="B13" s="23" t="s">
        <v>14</v>
      </c>
      <c r="C13" s="23"/>
      <c r="D13" s="24">
        <f>SUM(D11:D12)</f>
        <v>21582</v>
      </c>
      <c r="E13" s="28">
        <f>SUM(E11:E12)</f>
        <v>12715</v>
      </c>
      <c r="F13" s="28">
        <f>SUM(F11:F12)</f>
        <v>0</v>
      </c>
      <c r="G13" s="28">
        <f>SUM(G11:G12)</f>
        <v>4689.5004</v>
      </c>
      <c r="H13" s="7">
        <f t="shared" si="0"/>
        <v>0.6674305314394694</v>
      </c>
    </row>
    <row r="14" spans="1:6" ht="15">
      <c r="A14" s="1"/>
      <c r="B14" s="1"/>
      <c r="C14" s="1"/>
      <c r="D14" s="12"/>
      <c r="E14" s="9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2"/>
    <mergeCell ref="G5:G6"/>
    <mergeCell ref="H5:H6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2016-02-01T10:50:07Z</dcterms:modified>
  <cp:category/>
  <cp:version/>
  <cp:contentType/>
  <cp:contentStatus/>
</cp:coreProperties>
</file>