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101 (январь)  " sheetId="1" r:id="rId1"/>
    <sheet name="101 (февраль)" sheetId="2" r:id="rId2"/>
    <sheet name="101 (март)" sheetId="3" r:id="rId3"/>
    <sheet name="101 (апрель)" sheetId="4" r:id="rId4"/>
    <sheet name="101 (май)" sheetId="5" r:id="rId5"/>
    <sheet name="101 (июнь)" sheetId="6" r:id="rId6"/>
    <sheet name="101 (июль)" sheetId="7" r:id="rId7"/>
    <sheet name="101 (август)" sheetId="8" r:id="rId8"/>
    <sheet name="101 (сентябрь)" sheetId="9" r:id="rId9"/>
    <sheet name="101 (октябрь)" sheetId="10" r:id="rId10"/>
    <sheet name="101 (ноябрь)" sheetId="11" r:id="rId11"/>
    <sheet name="101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<sst xmlns="http://schemas.openxmlformats.org/spreadsheetml/2006/main" count="441" uniqueCount="63">
  <si>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</si>
  <si>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</si>
  <si>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</si>
  <si>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</si>
  <si>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</si>
  <si>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</si>
  <si>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Репина 101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</si>
  <si>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</si>
  <si>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</si>
  <si>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</si>
  <si>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</si>
  <si>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</si>
  <si>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сч.952879</t>
  </si>
  <si>
    <t>эл.эн.ночь № сч.952879</t>
  </si>
  <si>
    <t>эл.эн.ночь № сч.960365</t>
  </si>
  <si>
    <t>эл.эн.день № сч.960365</t>
  </si>
  <si>
    <t>эл.эн.день № сч.925249</t>
  </si>
  <si>
    <t>эл.эн.ночь № сч.925249</t>
  </si>
  <si>
    <t>эл.эн.день № сч.925168</t>
  </si>
  <si>
    <t>эл.эн.ночь № сч.925168</t>
  </si>
  <si>
    <t>эл.эн.день № сч.970335</t>
  </si>
  <si>
    <t>эл.эн.ночь № сч.970335</t>
  </si>
  <si>
    <t>эл.эн.день № сч.970338</t>
  </si>
  <si>
    <t>эл.эн.ночь № сч.970338</t>
  </si>
  <si>
    <t>эл.эн.день № сч.011198</t>
  </si>
  <si>
    <t>эл.эн.ночь № сч.011198</t>
  </si>
  <si>
    <t>эл.эн.день № сч.970402</t>
  </si>
  <si>
    <t>эл.эн.ночь № сч.970402</t>
  </si>
  <si>
    <t>день эл.эн.</t>
  </si>
  <si>
    <t>ночь эл.эн.</t>
  </si>
  <si>
    <t xml:space="preserve">начисление сторонним потребителям </t>
  </si>
  <si>
    <t xml:space="preserve">начисление по индивидуальным приборам учета и нормативу </t>
  </si>
  <si>
    <t xml:space="preserve">объем потребления </t>
  </si>
  <si>
    <t>Объем коммунальных услуг по показаниям общедомовых приборов учета (ОДН) за январь в феврале2013г.</t>
  </si>
  <si>
    <t>79806./81061</t>
  </si>
  <si>
    <t>Объем коммунальных услуг по показаниям общедомовых приборов учета (ОДН) за февраль в марте 2013г.</t>
  </si>
  <si>
    <t>81061./82579</t>
  </si>
  <si>
    <t>ХВС (тонн)</t>
  </si>
  <si>
    <t>Объем коммунальных услуг по показаниям общедомовых приборов учета (ОДН) за март в апреле 2013г.</t>
  </si>
  <si>
    <t>82579./83914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</si>
  <si>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</si>
  <si>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</si>
  <si>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83914./85329</t>
  </si>
  <si>
    <t>Объем коммунальных услуг по показаниям общедомовых приборов учета (ОДН) за май в июне 2013г.</t>
  </si>
  <si>
    <t>85329/86607</t>
  </si>
  <si>
    <t>Объем коммунальных услуг по показаниям общедомовых приборов учета (ОДН) за июнь в июле 2013г.</t>
  </si>
  <si>
    <t>86607,/87951</t>
  </si>
  <si>
    <t>эл.эн.день № сч.629751</t>
  </si>
  <si>
    <t>эл.эн.ночь № сч.629751</t>
  </si>
  <si>
    <t>эл.эн.день № сч.629473</t>
  </si>
  <si>
    <t>эл.эн.ночь № сч.629473</t>
  </si>
  <si>
    <t>Объем коммунальных услуг по показаниям общедомовых приборов учета (ОДН) за июль в августе 2013г.</t>
  </si>
  <si>
    <t>86572/87837,1379/1397</t>
  </si>
  <si>
    <t>Объем коммунальных услуг по показаниям общедомовых приборов учета (ОДН) за август в сентябре 2013г.</t>
  </si>
  <si>
    <t>87837/89222,1397/1417</t>
  </si>
  <si>
    <t>Объем коммунальных услуг по показаниям общедомовых приборов учета (ОДН) за сентябрь в октябре 2013г.</t>
  </si>
  <si>
    <t>89222/90431,1417/1433</t>
  </si>
  <si>
    <t>Объем коммунальных услуг по показаниям общедомовых приборов учета (ОДН) за октябрь в ноябре 2013г.</t>
  </si>
  <si>
    <t>90431/91747,1433/1453</t>
  </si>
  <si>
    <t>Объем коммунальных услуг по показаниям общедомовых приборов учета (ОДН) за ноябрь в декабре 2013г.</t>
  </si>
  <si>
    <t>91747/93228,1453/1475</t>
  </si>
  <si>
    <t>93228/94947,1475/1498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</si>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</sst>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00"/>
    <numFmt numFmtId="172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0" fillId="24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8" sqref="F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0" t="s">
        <v>33</v>
      </c>
    </row>
    <row r="4" spans="1:10" ht="15">
      <c r="A4" s="52" t="s">
        <v>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68.25" customHeight="1">
      <c r="A5" s="46" t="s">
        <v>0</v>
      </c>
      <c r="B5" s="48" t="s">
        <v>1</v>
      </c>
      <c r="C5" s="46" t="s">
        <v>2</v>
      </c>
      <c r="D5" s="55" t="s">
        <v>5</v>
      </c>
      <c r="E5" s="56"/>
      <c r="F5" s="46" t="s">
        <v>32</v>
      </c>
      <c r="G5" s="46" t="s">
        <v>31</v>
      </c>
      <c r="H5" s="46" t="s">
        <v>30</v>
      </c>
      <c r="I5" s="46" t="s">
        <v>3</v>
      </c>
      <c r="J5" s="48" t="s">
        <v>4</v>
      </c>
    </row>
    <row r="6" spans="1:10" ht="37.5" customHeight="1">
      <c r="A6" s="47"/>
      <c r="B6" s="49"/>
      <c r="C6" s="47"/>
      <c r="D6" s="11" t="s">
        <v>9</v>
      </c>
      <c r="E6" s="4" t="s">
        <v>10</v>
      </c>
      <c r="F6" s="47"/>
      <c r="G6" s="47"/>
      <c r="H6" s="47"/>
      <c r="I6" s="47"/>
      <c r="J6" s="49"/>
    </row>
    <row r="7" spans="1:12" ht="15">
      <c r="A7" s="2">
        <v>1</v>
      </c>
      <c r="B7" s="3" t="s">
        <v>7</v>
      </c>
      <c r="C7" s="7"/>
      <c r="D7" s="5"/>
      <c r="E7" s="5"/>
      <c r="F7" s="7">
        <f>1180.01+8.39</f>
        <v>1188.4</v>
      </c>
      <c r="G7" s="6">
        <f>806.01+310.638+59.225</f>
        <v>1175.8729999999998</v>
      </c>
      <c r="H7" s="6">
        <v>8.39</v>
      </c>
      <c r="I7" s="6">
        <f aca="true" t="shared" si="0" ref="I7:I25">F7-G7-H7</f>
        <v>4.1370000000002705</v>
      </c>
      <c r="J7" s="7">
        <f>I7/10010.6</f>
        <v>0.00041326194234114544</v>
      </c>
      <c r="L7" s="9"/>
    </row>
    <row r="8" spans="1:12" ht="15">
      <c r="A8" s="2">
        <v>2</v>
      </c>
      <c r="B8" s="3" t="s">
        <v>37</v>
      </c>
      <c r="C8" s="6" t="s">
        <v>34</v>
      </c>
      <c r="D8" s="5"/>
      <c r="E8" s="5"/>
      <c r="F8" s="6">
        <f>1232+23</f>
        <v>1255</v>
      </c>
      <c r="G8" s="6">
        <f>897.25+444.082+34.244</f>
        <v>1375.5759999999998</v>
      </c>
      <c r="H8" s="6">
        <f>8+1+1+4</f>
        <v>14</v>
      </c>
      <c r="I8" s="6">
        <f t="shared" si="0"/>
        <v>-134.5759999999998</v>
      </c>
      <c r="J8" s="7">
        <f aca="true" t="shared" si="1" ref="J8:J28">I8/10010.6</f>
        <v>-0.013443350048948094</v>
      </c>
      <c r="L8" s="9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2443.4</v>
      </c>
      <c r="G9" s="6">
        <f>1639.1+714.951+74.069+123.329</f>
        <v>2551.449</v>
      </c>
      <c r="H9" s="6">
        <f>H7+H8</f>
        <v>22.39</v>
      </c>
      <c r="I9" s="6">
        <f t="shared" si="0"/>
        <v>-130.43899999999996</v>
      </c>
      <c r="J9" s="7">
        <f t="shared" si="1"/>
        <v>-0.013030088106606993</v>
      </c>
      <c r="L9" s="9"/>
    </row>
    <row r="10" spans="1:10" ht="15">
      <c r="A10" s="17"/>
      <c r="B10" s="3" t="s">
        <v>16</v>
      </c>
      <c r="C10" s="6"/>
      <c r="D10" s="5">
        <v>38700</v>
      </c>
      <c r="E10" s="5">
        <v>39250</v>
      </c>
      <c r="F10" s="7">
        <f>(E10-D10)*1</f>
        <v>550</v>
      </c>
      <c r="G10" s="6">
        <v>0</v>
      </c>
      <c r="H10" s="6">
        <v>0</v>
      </c>
      <c r="I10" s="6">
        <f t="shared" si="0"/>
        <v>550</v>
      </c>
      <c r="J10" s="7">
        <f t="shared" si="1"/>
        <v>0.05494176173256348</v>
      </c>
    </row>
    <row r="11" spans="1:10" ht="15">
      <c r="A11" s="17"/>
      <c r="B11" s="3" t="s">
        <v>17</v>
      </c>
      <c r="C11" s="6"/>
      <c r="D11" s="5">
        <v>56940</v>
      </c>
      <c r="E11" s="5">
        <v>57660</v>
      </c>
      <c r="F11" s="7">
        <f>(E11-D11)*1</f>
        <v>720</v>
      </c>
      <c r="G11" s="6">
        <v>0</v>
      </c>
      <c r="H11" s="6">
        <v>0</v>
      </c>
      <c r="I11" s="6">
        <f t="shared" si="0"/>
        <v>720</v>
      </c>
      <c r="J11" s="7">
        <f t="shared" si="1"/>
        <v>0.07192376081353764</v>
      </c>
    </row>
    <row r="12" spans="1:10" ht="15">
      <c r="A12" s="17"/>
      <c r="B12" s="3" t="s">
        <v>18</v>
      </c>
      <c r="C12" s="6"/>
      <c r="D12" s="5">
        <v>50681</v>
      </c>
      <c r="E12" s="5">
        <v>51340</v>
      </c>
      <c r="F12" s="7">
        <f>(E12-D12)*1</f>
        <v>659</v>
      </c>
      <c r="G12" s="6">
        <v>0</v>
      </c>
      <c r="H12" s="6">
        <v>0</v>
      </c>
      <c r="I12" s="6">
        <f t="shared" si="0"/>
        <v>659</v>
      </c>
      <c r="J12" s="7">
        <f t="shared" si="1"/>
        <v>0.06583021996683515</v>
      </c>
    </row>
    <row r="13" spans="1:10" ht="15">
      <c r="A13" s="17"/>
      <c r="B13" s="3" t="s">
        <v>19</v>
      </c>
      <c r="C13" s="6"/>
      <c r="D13" s="5">
        <v>59420</v>
      </c>
      <c r="E13" s="5">
        <v>60210</v>
      </c>
      <c r="F13" s="7">
        <f>(E13-D13)*1</f>
        <v>790</v>
      </c>
      <c r="G13" s="6">
        <v>0</v>
      </c>
      <c r="H13" s="6">
        <v>0</v>
      </c>
      <c r="I13" s="6">
        <f t="shared" si="0"/>
        <v>790</v>
      </c>
      <c r="J13" s="7">
        <f t="shared" si="1"/>
        <v>0.07891634867040936</v>
      </c>
    </row>
    <row r="14" spans="1:10" ht="15">
      <c r="A14" s="17"/>
      <c r="B14" s="3" t="s">
        <v>20</v>
      </c>
      <c r="C14" s="6"/>
      <c r="D14" s="5">
        <v>4063</v>
      </c>
      <c r="E14" s="5">
        <v>4064</v>
      </c>
      <c r="F14" s="27">
        <f>(E14-D14)*10</f>
        <v>10</v>
      </c>
      <c r="G14" s="6">
        <v>0</v>
      </c>
      <c r="H14" s="6">
        <v>0</v>
      </c>
      <c r="I14" s="6">
        <f t="shared" si="0"/>
        <v>10</v>
      </c>
      <c r="J14" s="7">
        <f t="shared" si="1"/>
        <v>0.000998941122410245</v>
      </c>
    </row>
    <row r="15" spans="1:10" ht="15">
      <c r="A15" s="17"/>
      <c r="B15" s="3" t="s">
        <v>21</v>
      </c>
      <c r="C15" s="6"/>
      <c r="D15" s="5">
        <v>2432</v>
      </c>
      <c r="E15" s="5">
        <v>2464</v>
      </c>
      <c r="F15" s="27">
        <f>(E15-D15)*10</f>
        <v>320</v>
      </c>
      <c r="G15" s="6">
        <v>0</v>
      </c>
      <c r="H15" s="6">
        <v>0</v>
      </c>
      <c r="I15" s="6">
        <f t="shared" si="0"/>
        <v>320</v>
      </c>
      <c r="J15" s="7">
        <f t="shared" si="1"/>
        <v>0.03196611591712784</v>
      </c>
    </row>
    <row r="16" spans="1:10" ht="15">
      <c r="A16" s="17"/>
      <c r="B16" s="3" t="s">
        <v>22</v>
      </c>
      <c r="C16" s="6"/>
      <c r="D16" s="5">
        <v>4243</v>
      </c>
      <c r="E16" s="5">
        <v>4301</v>
      </c>
      <c r="F16" s="27">
        <f>(E16-D16)*10</f>
        <v>580</v>
      </c>
      <c r="G16" s="6">
        <v>0</v>
      </c>
      <c r="H16" s="6">
        <v>0</v>
      </c>
      <c r="I16" s="6">
        <f t="shared" si="0"/>
        <v>580</v>
      </c>
      <c r="J16" s="7">
        <f t="shared" si="1"/>
        <v>0.057938585099794215</v>
      </c>
    </row>
    <row r="17" spans="1:10" ht="15">
      <c r="A17" s="17"/>
      <c r="B17" s="3" t="s">
        <v>23</v>
      </c>
      <c r="C17" s="6"/>
      <c r="D17" s="5">
        <v>2467</v>
      </c>
      <c r="E17" s="5">
        <v>2498</v>
      </c>
      <c r="F17" s="27">
        <f>(E17-D17)*10</f>
        <v>310</v>
      </c>
      <c r="G17" s="6">
        <v>0</v>
      </c>
      <c r="H17" s="6">
        <v>0</v>
      </c>
      <c r="I17" s="6">
        <f t="shared" si="0"/>
        <v>310</v>
      </c>
      <c r="J17" s="7">
        <f t="shared" si="1"/>
        <v>0.030967174794717597</v>
      </c>
    </row>
    <row r="18" spans="1:10" ht="15">
      <c r="A18" s="17"/>
      <c r="B18" s="3" t="s">
        <v>24</v>
      </c>
      <c r="C18" s="6"/>
      <c r="D18" s="5">
        <v>3246</v>
      </c>
      <c r="E18" s="5">
        <v>3311</v>
      </c>
      <c r="F18" s="27">
        <f>(E18-D18)*15</f>
        <v>975</v>
      </c>
      <c r="G18" s="6">
        <v>0</v>
      </c>
      <c r="H18" s="6">
        <v>0</v>
      </c>
      <c r="I18" s="6">
        <f t="shared" si="0"/>
        <v>975</v>
      </c>
      <c r="J18" s="7">
        <f t="shared" si="1"/>
        <v>0.0973967594349989</v>
      </c>
    </row>
    <row r="19" spans="1:10" ht="15">
      <c r="A19" s="17"/>
      <c r="B19" s="3" t="s">
        <v>25</v>
      </c>
      <c r="C19" s="6"/>
      <c r="D19" s="5">
        <v>3907</v>
      </c>
      <c r="E19" s="5">
        <v>3985</v>
      </c>
      <c r="F19" s="27">
        <f>(E19-D19)*15</f>
        <v>1170</v>
      </c>
      <c r="G19" s="6">
        <v>0</v>
      </c>
      <c r="H19" s="6">
        <v>0</v>
      </c>
      <c r="I19" s="6">
        <f t="shared" si="0"/>
        <v>1170</v>
      </c>
      <c r="J19" s="7">
        <f t="shared" si="1"/>
        <v>0.11687611132199868</v>
      </c>
    </row>
    <row r="20" spans="1:10" ht="15">
      <c r="A20" s="17"/>
      <c r="B20" s="3" t="s">
        <v>26</v>
      </c>
      <c r="C20" s="6"/>
      <c r="D20" s="5">
        <v>1941</v>
      </c>
      <c r="E20" s="5">
        <v>1959</v>
      </c>
      <c r="F20" s="27">
        <f>(E20-D20)*15</f>
        <v>270</v>
      </c>
      <c r="G20" s="6">
        <v>0</v>
      </c>
      <c r="H20" s="6">
        <v>0</v>
      </c>
      <c r="I20" s="6">
        <f t="shared" si="0"/>
        <v>270</v>
      </c>
      <c r="J20" s="7">
        <f t="shared" si="1"/>
        <v>0.026971410305076618</v>
      </c>
    </row>
    <row r="21" spans="1:10" ht="15">
      <c r="A21" s="17"/>
      <c r="B21" s="3" t="s">
        <v>27</v>
      </c>
      <c r="C21" s="6"/>
      <c r="D21" s="5">
        <v>2538</v>
      </c>
      <c r="E21" s="5">
        <v>2598</v>
      </c>
      <c r="F21" s="27">
        <f>(E21-D21)*15</f>
        <v>900</v>
      </c>
      <c r="G21" s="6">
        <v>0</v>
      </c>
      <c r="H21" s="6">
        <v>0</v>
      </c>
      <c r="I21" s="6">
        <f t="shared" si="0"/>
        <v>900</v>
      </c>
      <c r="J21" s="7">
        <f t="shared" si="1"/>
        <v>0.08990470101692206</v>
      </c>
    </row>
    <row r="22" spans="1:10" ht="15">
      <c r="A22" s="50">
        <v>4</v>
      </c>
      <c r="B22" s="3" t="s">
        <v>12</v>
      </c>
      <c r="C22" s="6"/>
      <c r="D22" s="5">
        <v>76292</v>
      </c>
      <c r="E22" s="5">
        <v>77080</v>
      </c>
      <c r="F22" s="27">
        <f>(E22-D22)*1</f>
        <v>788</v>
      </c>
      <c r="G22" s="6">
        <v>0</v>
      </c>
      <c r="H22" s="6">
        <f>554</f>
        <v>554</v>
      </c>
      <c r="I22" s="6">
        <f t="shared" si="0"/>
        <v>234</v>
      </c>
      <c r="J22" s="7">
        <f t="shared" si="1"/>
        <v>0.023375222264399736</v>
      </c>
    </row>
    <row r="23" spans="1:10" ht="15">
      <c r="A23" s="51"/>
      <c r="B23" s="3" t="s">
        <v>13</v>
      </c>
      <c r="C23" s="6"/>
      <c r="D23" s="5">
        <v>85139</v>
      </c>
      <c r="E23" s="5">
        <v>86080</v>
      </c>
      <c r="F23" s="27">
        <f>(E23-D23)*1</f>
        <v>941</v>
      </c>
      <c r="G23" s="6">
        <v>0</v>
      </c>
      <c r="H23" s="6">
        <f>939</f>
        <v>939</v>
      </c>
      <c r="I23" s="6">
        <f t="shared" si="0"/>
        <v>2</v>
      </c>
      <c r="J23" s="7">
        <f t="shared" si="1"/>
        <v>0.00019978822448204903</v>
      </c>
    </row>
    <row r="24" spans="1:10" ht="15">
      <c r="A24" s="51"/>
      <c r="B24" s="3" t="s">
        <v>15</v>
      </c>
      <c r="C24" s="6"/>
      <c r="D24" s="12">
        <v>8917</v>
      </c>
      <c r="E24" s="12">
        <v>9102</v>
      </c>
      <c r="F24" s="7">
        <f>(E24-D24)*10</f>
        <v>1850</v>
      </c>
      <c r="G24" s="6">
        <v>0</v>
      </c>
      <c r="H24" s="6">
        <v>0</v>
      </c>
      <c r="I24" s="6">
        <f t="shared" si="0"/>
        <v>1850</v>
      </c>
      <c r="J24" s="7">
        <f t="shared" si="1"/>
        <v>0.18480410764589533</v>
      </c>
    </row>
    <row r="25" spans="1:10" ht="15">
      <c r="A25" s="13"/>
      <c r="B25" s="3" t="s">
        <v>14</v>
      </c>
      <c r="C25" s="14"/>
      <c r="D25" s="5">
        <v>8875</v>
      </c>
      <c r="E25" s="26">
        <v>9066</v>
      </c>
      <c r="F25" s="7">
        <f>(E25-D25)*10</f>
        <v>1910</v>
      </c>
      <c r="G25" s="6">
        <v>0</v>
      </c>
      <c r="H25" s="14">
        <v>0</v>
      </c>
      <c r="I25" s="6">
        <f t="shared" si="0"/>
        <v>1910</v>
      </c>
      <c r="J25" s="7">
        <f t="shared" si="1"/>
        <v>0.19079775438035682</v>
      </c>
    </row>
    <row r="26" spans="1:10" ht="15">
      <c r="A26" s="15"/>
      <c r="B26" s="15" t="s">
        <v>11</v>
      </c>
      <c r="C26" s="15"/>
      <c r="D26" s="8"/>
      <c r="E26" s="15"/>
      <c r="F26" s="16">
        <f>SUM(F10:F25)</f>
        <v>12743</v>
      </c>
      <c r="G26" s="16">
        <f>SUM(G10:G25)</f>
        <v>0</v>
      </c>
      <c r="H26" s="16">
        <f>SUM(H10:H25)</f>
        <v>1493</v>
      </c>
      <c r="I26" s="16">
        <f>SUM(I10:I25)</f>
        <v>11250</v>
      </c>
      <c r="J26" s="7">
        <f t="shared" si="1"/>
        <v>1.1238087627115256</v>
      </c>
    </row>
    <row r="27" spans="1:12" ht="15">
      <c r="A27" s="20"/>
      <c r="B27" s="20"/>
      <c r="C27" s="20"/>
      <c r="D27" s="21"/>
      <c r="E27" s="20" t="s">
        <v>28</v>
      </c>
      <c r="F27" s="22">
        <f aca="true" t="shared" si="2" ref="F27:I28">F10+F12+F14+F16+F18+F20+F22+F24</f>
        <v>5682</v>
      </c>
      <c r="G27" s="22">
        <f t="shared" si="2"/>
        <v>0</v>
      </c>
      <c r="H27" s="22">
        <f t="shared" si="2"/>
        <v>554</v>
      </c>
      <c r="I27" s="22">
        <f t="shared" si="2"/>
        <v>5128</v>
      </c>
      <c r="J27" s="7">
        <f t="shared" si="1"/>
        <v>0.5122570075719737</v>
      </c>
      <c r="K27" s="23"/>
      <c r="L27" s="9"/>
    </row>
    <row r="28" spans="1:12" ht="15">
      <c r="A28" s="20"/>
      <c r="B28" s="20"/>
      <c r="C28" s="20"/>
      <c r="D28" s="21"/>
      <c r="E28" s="20" t="s">
        <v>29</v>
      </c>
      <c r="F28" s="22">
        <f t="shared" si="2"/>
        <v>7061</v>
      </c>
      <c r="G28" s="22">
        <f t="shared" si="2"/>
        <v>0</v>
      </c>
      <c r="H28" s="22">
        <f t="shared" si="2"/>
        <v>939</v>
      </c>
      <c r="I28" s="22">
        <f t="shared" si="2"/>
        <v>6122</v>
      </c>
      <c r="J28" s="7">
        <f t="shared" si="1"/>
        <v>0.6115517551395521</v>
      </c>
      <c r="K28" s="23"/>
      <c r="L28" s="9"/>
    </row>
    <row r="29" spans="1:8" ht="15">
      <c r="A29" s="1"/>
      <c r="B29" s="1"/>
      <c r="C29" s="1"/>
      <c r="D29" s="1"/>
      <c r="E29" s="1"/>
      <c r="F29" s="19"/>
      <c r="G29" s="24"/>
      <c r="H29" s="25"/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22:A24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1.003906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57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83.28+0.74</f>
        <v>84.02</v>
      </c>
      <c r="G7" s="40">
        <f>G8*0.0478</f>
        <v>60.49555094</v>
      </c>
      <c r="H7" s="45">
        <f>0.74</f>
        <v>0.74</v>
      </c>
      <c r="I7" s="40">
        <f>38.8719*0.0478</f>
        <v>1.85807682</v>
      </c>
      <c r="J7" s="7">
        <f>I7/10011.1</f>
        <v>0.00018560166415279038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1275.77+10.43</f>
        <v>1286.2</v>
      </c>
      <c r="G8" s="6">
        <f>805.8763+275.121+184.6</f>
        <v>1265.5973</v>
      </c>
      <c r="H8" s="6">
        <f>10.43</f>
        <v>10.43</v>
      </c>
      <c r="I8" s="6">
        <f>F8-G8-H8</f>
        <v>10.172700000000141</v>
      </c>
      <c r="J8" s="7">
        <f aca="true" t="shared" si="0" ref="J8:J29">I8/10011.1</f>
        <v>0.0010161420822886737</v>
      </c>
      <c r="L8" s="9"/>
    </row>
    <row r="9" spans="1:12" ht="15">
      <c r="A9" s="2">
        <v>3</v>
      </c>
      <c r="B9" s="3" t="s">
        <v>37</v>
      </c>
      <c r="C9" s="6" t="s">
        <v>58</v>
      </c>
      <c r="D9" s="5"/>
      <c r="E9" s="5"/>
      <c r="F9" s="6">
        <f>1316+20</f>
        <v>1336</v>
      </c>
      <c r="G9" s="6">
        <f>974.6883+467.017+287.19</f>
        <v>1728.8953000000001</v>
      </c>
      <c r="H9" s="6">
        <f>16</f>
        <v>16</v>
      </c>
      <c r="I9" s="6">
        <f aca="true" t="shared" si="1" ref="I9:I26">F9-G9-H9</f>
        <v>-408.89530000000013</v>
      </c>
      <c r="J9" s="7">
        <f t="shared" si="0"/>
        <v>-0.04084419294583014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2622.2</v>
      </c>
      <c r="G10" s="6">
        <f>1700.8247+732.538+453.66+75.46+32.01</f>
        <v>2994.4927</v>
      </c>
      <c r="H10" s="6">
        <f>H8+H9</f>
        <v>26.43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41460</v>
      </c>
      <c r="E11" s="5">
        <v>41860</v>
      </c>
      <c r="F11" s="7">
        <f aca="true" t="shared" si="2" ref="F11:F18">(E11-D11)*1</f>
        <v>400</v>
      </c>
      <c r="G11" s="6">
        <v>0</v>
      </c>
      <c r="H11" s="6">
        <v>0</v>
      </c>
      <c r="I11" s="6">
        <f t="shared" si="1"/>
        <v>400</v>
      </c>
      <c r="J11" s="7">
        <f t="shared" si="0"/>
        <v>0.03995564922935541</v>
      </c>
    </row>
    <row r="12" spans="1:10" ht="15">
      <c r="A12" s="57"/>
      <c r="B12" s="3" t="s">
        <v>17</v>
      </c>
      <c r="C12" s="6"/>
      <c r="D12" s="5">
        <v>61270</v>
      </c>
      <c r="E12" s="5">
        <v>61950</v>
      </c>
      <c r="F12" s="7">
        <f t="shared" si="2"/>
        <v>680</v>
      </c>
      <c r="G12" s="6">
        <v>0</v>
      </c>
      <c r="H12" s="6">
        <v>0</v>
      </c>
      <c r="I12" s="6">
        <f t="shared" si="1"/>
        <v>680</v>
      </c>
      <c r="J12" s="7">
        <f t="shared" si="0"/>
        <v>0.0679246036899042</v>
      </c>
    </row>
    <row r="13" spans="1:10" ht="15">
      <c r="A13" s="57"/>
      <c r="B13" s="3" t="s">
        <v>18</v>
      </c>
      <c r="C13" s="6"/>
      <c r="D13" s="5">
        <v>54250</v>
      </c>
      <c r="E13" s="5">
        <v>54670</v>
      </c>
      <c r="F13" s="7">
        <f t="shared" si="2"/>
        <v>420</v>
      </c>
      <c r="G13" s="6">
        <v>0</v>
      </c>
      <c r="H13" s="6">
        <v>0</v>
      </c>
      <c r="I13" s="6">
        <f t="shared" si="1"/>
        <v>420</v>
      </c>
      <c r="J13" s="7">
        <f t="shared" si="0"/>
        <v>0.04195343169082318</v>
      </c>
    </row>
    <row r="14" spans="1:10" ht="15">
      <c r="A14" s="57"/>
      <c r="B14" s="3" t="s">
        <v>19</v>
      </c>
      <c r="C14" s="6"/>
      <c r="D14" s="5">
        <v>63870</v>
      </c>
      <c r="E14" s="5">
        <v>64430</v>
      </c>
      <c r="F14" s="7">
        <f t="shared" si="2"/>
        <v>560</v>
      </c>
      <c r="G14" s="6">
        <v>0</v>
      </c>
      <c r="H14" s="6">
        <v>0</v>
      </c>
      <c r="I14" s="6">
        <f t="shared" si="1"/>
        <v>560</v>
      </c>
      <c r="J14" s="7">
        <f t="shared" si="0"/>
        <v>0.05593790892109758</v>
      </c>
    </row>
    <row r="15" spans="1:10" ht="15">
      <c r="A15" s="57"/>
      <c r="B15" s="3" t="s">
        <v>47</v>
      </c>
      <c r="C15" s="6"/>
      <c r="D15" s="5">
        <v>1551</v>
      </c>
      <c r="E15" s="5">
        <v>2065</v>
      </c>
      <c r="F15" s="42">
        <f t="shared" si="2"/>
        <v>514</v>
      </c>
      <c r="G15" s="6">
        <v>0</v>
      </c>
      <c r="H15" s="6">
        <v>0</v>
      </c>
      <c r="I15" s="6">
        <f t="shared" si="1"/>
        <v>514</v>
      </c>
      <c r="J15" s="7">
        <f t="shared" si="0"/>
        <v>0.051343009259721704</v>
      </c>
    </row>
    <row r="16" spans="1:10" ht="15">
      <c r="A16" s="57"/>
      <c r="B16" s="3" t="s">
        <v>48</v>
      </c>
      <c r="C16" s="6"/>
      <c r="D16" s="5">
        <v>276</v>
      </c>
      <c r="E16" s="5">
        <v>349</v>
      </c>
      <c r="F16" s="42">
        <f t="shared" si="2"/>
        <v>73</v>
      </c>
      <c r="G16" s="6">
        <v>0</v>
      </c>
      <c r="H16" s="6">
        <v>0</v>
      </c>
      <c r="I16" s="6">
        <f t="shared" si="1"/>
        <v>73</v>
      </c>
      <c r="J16" s="7">
        <f t="shared" si="0"/>
        <v>0.007291905984357363</v>
      </c>
    </row>
    <row r="17" spans="1:10" ht="15">
      <c r="A17" s="57"/>
      <c r="B17" s="3" t="s">
        <v>49</v>
      </c>
      <c r="C17" s="6"/>
      <c r="D17" s="5">
        <v>1690</v>
      </c>
      <c r="E17" s="5">
        <v>2285</v>
      </c>
      <c r="F17" s="42">
        <f t="shared" si="2"/>
        <v>595</v>
      </c>
      <c r="G17" s="6">
        <v>0</v>
      </c>
      <c r="H17" s="6">
        <v>0</v>
      </c>
      <c r="I17" s="6">
        <f t="shared" si="1"/>
        <v>595</v>
      </c>
      <c r="J17" s="7">
        <f t="shared" si="0"/>
        <v>0.059434028228666176</v>
      </c>
    </row>
    <row r="18" spans="1:10" ht="15">
      <c r="A18" s="57"/>
      <c r="B18" s="3" t="s">
        <v>50</v>
      </c>
      <c r="C18" s="6"/>
      <c r="D18" s="5">
        <v>332</v>
      </c>
      <c r="E18" s="5">
        <v>435</v>
      </c>
      <c r="F18" s="42">
        <f t="shared" si="2"/>
        <v>103</v>
      </c>
      <c r="G18" s="6">
        <v>0</v>
      </c>
      <c r="H18" s="6">
        <v>0</v>
      </c>
      <c r="I18" s="6">
        <f t="shared" si="1"/>
        <v>103</v>
      </c>
      <c r="J18" s="7">
        <f t="shared" si="0"/>
        <v>0.01028857967655902</v>
      </c>
    </row>
    <row r="19" spans="1:10" ht="15">
      <c r="A19" s="57"/>
      <c r="B19" s="3" t="s">
        <v>24</v>
      </c>
      <c r="C19" s="6"/>
      <c r="D19" s="5">
        <v>3561</v>
      </c>
      <c r="E19" s="5">
        <v>3600</v>
      </c>
      <c r="F19" s="42">
        <f>(E19-D19)*15</f>
        <v>585</v>
      </c>
      <c r="G19" s="6">
        <v>0</v>
      </c>
      <c r="H19" s="6">
        <v>0</v>
      </c>
      <c r="I19" s="6">
        <f t="shared" si="1"/>
        <v>585</v>
      </c>
      <c r="J19" s="7">
        <f t="shared" si="0"/>
        <v>0.05843513699793229</v>
      </c>
    </row>
    <row r="20" spans="1:10" ht="15">
      <c r="A20" s="57"/>
      <c r="B20" s="3" t="s">
        <v>25</v>
      </c>
      <c r="C20" s="6"/>
      <c r="D20" s="5">
        <v>4295</v>
      </c>
      <c r="E20" s="5">
        <v>4343</v>
      </c>
      <c r="F20" s="42">
        <f>(E20-D20)*15</f>
        <v>720</v>
      </c>
      <c r="G20" s="6">
        <v>0</v>
      </c>
      <c r="H20" s="6">
        <v>0</v>
      </c>
      <c r="I20" s="6">
        <f t="shared" si="1"/>
        <v>720</v>
      </c>
      <c r="J20" s="7">
        <f t="shared" si="0"/>
        <v>0.07192016861283974</v>
      </c>
    </row>
    <row r="21" spans="1:10" ht="15">
      <c r="A21" s="57"/>
      <c r="B21" s="3" t="s">
        <v>26</v>
      </c>
      <c r="C21" s="6"/>
      <c r="D21" s="5">
        <v>2059</v>
      </c>
      <c r="E21" s="5">
        <v>2071</v>
      </c>
      <c r="F21" s="42">
        <f>(E21-D21)*15</f>
        <v>180</v>
      </c>
      <c r="G21" s="6">
        <v>0</v>
      </c>
      <c r="H21" s="6">
        <v>0</v>
      </c>
      <c r="I21" s="6">
        <f t="shared" si="1"/>
        <v>180</v>
      </c>
      <c r="J21" s="7">
        <f t="shared" si="0"/>
        <v>0.017980042153209936</v>
      </c>
    </row>
    <row r="22" spans="1:10" ht="15">
      <c r="A22" s="57"/>
      <c r="B22" s="3" t="s">
        <v>27</v>
      </c>
      <c r="C22" s="6"/>
      <c r="D22" s="5">
        <v>2706</v>
      </c>
      <c r="E22" s="5">
        <v>2724</v>
      </c>
      <c r="F22" s="42">
        <f>(E22-D22)*15</f>
        <v>270</v>
      </c>
      <c r="G22" s="6">
        <v>0</v>
      </c>
      <c r="H22" s="6">
        <v>0</v>
      </c>
      <c r="I22" s="6">
        <f t="shared" si="1"/>
        <v>270</v>
      </c>
      <c r="J22" s="7">
        <f t="shared" si="0"/>
        <v>0.026970063229814906</v>
      </c>
    </row>
    <row r="23" spans="1:10" ht="15">
      <c r="A23" s="57"/>
      <c r="B23" s="3" t="s">
        <v>12</v>
      </c>
      <c r="C23" s="6"/>
      <c r="D23" s="5">
        <v>81140</v>
      </c>
      <c r="E23" s="5">
        <v>81690</v>
      </c>
      <c r="F23" s="42">
        <f>(E23-D23)*1</f>
        <v>550</v>
      </c>
      <c r="G23" s="6">
        <v>0</v>
      </c>
      <c r="H23" s="6">
        <v>0</v>
      </c>
      <c r="I23" s="6">
        <f t="shared" si="1"/>
        <v>550</v>
      </c>
      <c r="J23" s="7">
        <f t="shared" si="0"/>
        <v>0.054939017690363696</v>
      </c>
    </row>
    <row r="24" spans="1:10" ht="15">
      <c r="A24" s="57"/>
      <c r="B24" s="3" t="s">
        <v>13</v>
      </c>
      <c r="C24" s="6"/>
      <c r="D24" s="5">
        <v>90800</v>
      </c>
      <c r="E24" s="5">
        <v>91470</v>
      </c>
      <c r="F24" s="42">
        <f>(E24-D24)*1</f>
        <v>670</v>
      </c>
      <c r="G24" s="6">
        <v>0</v>
      </c>
      <c r="H24" s="6">
        <v>0</v>
      </c>
      <c r="I24" s="6">
        <f t="shared" si="1"/>
        <v>670</v>
      </c>
      <c r="J24" s="7">
        <f t="shared" si="0"/>
        <v>0.06692571245917033</v>
      </c>
    </row>
    <row r="25" spans="1:10" ht="15">
      <c r="A25" s="57"/>
      <c r="B25" s="3" t="s">
        <v>15</v>
      </c>
      <c r="C25" s="6"/>
      <c r="D25" s="12">
        <v>9593</v>
      </c>
      <c r="E25" s="12">
        <v>9654</v>
      </c>
      <c r="F25" s="7">
        <f>(E25-D25)*10</f>
        <v>610</v>
      </c>
      <c r="G25" s="6">
        <v>0</v>
      </c>
      <c r="H25" s="6">
        <v>0</v>
      </c>
      <c r="I25" s="6">
        <f t="shared" si="1"/>
        <v>610</v>
      </c>
      <c r="J25" s="7">
        <f t="shared" si="0"/>
        <v>0.06093236507476701</v>
      </c>
    </row>
    <row r="26" spans="1:10" ht="15">
      <c r="A26" s="57"/>
      <c r="B26" s="3" t="s">
        <v>14</v>
      </c>
      <c r="C26" s="6"/>
      <c r="D26" s="5">
        <v>9522</v>
      </c>
      <c r="E26" s="5">
        <v>9581</v>
      </c>
      <c r="F26" s="7">
        <f>(E26-D26)*10</f>
        <v>590</v>
      </c>
      <c r="G26" s="6">
        <v>0</v>
      </c>
      <c r="H26" s="6">
        <v>0</v>
      </c>
      <c r="I26" s="6">
        <f t="shared" si="1"/>
        <v>590</v>
      </c>
      <c r="J26" s="7">
        <f t="shared" si="0"/>
        <v>0.05893458261329924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7520</v>
      </c>
      <c r="G27" s="44">
        <f>SUM(G11:G26)</f>
        <v>0</v>
      </c>
      <c r="H27" s="44">
        <f>SUM(H11:H26)</f>
        <v>0</v>
      </c>
      <c r="I27" s="44">
        <f>SUM(I11:I26)</f>
        <v>7520</v>
      </c>
      <c r="J27" s="7">
        <f t="shared" si="0"/>
        <v>0.7511662055118817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3854</v>
      </c>
      <c r="G28" s="22">
        <f t="shared" si="3"/>
        <v>0</v>
      </c>
      <c r="H28" s="22">
        <f t="shared" si="3"/>
        <v>0</v>
      </c>
      <c r="I28" s="22">
        <f t="shared" si="3"/>
        <v>3854</v>
      </c>
      <c r="J28" s="7">
        <f t="shared" si="0"/>
        <v>0.3849726803248394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3666</v>
      </c>
      <c r="G29" s="22">
        <f t="shared" si="3"/>
        <v>0</v>
      </c>
      <c r="H29" s="22">
        <f t="shared" si="3"/>
        <v>0</v>
      </c>
      <c r="I29" s="22">
        <f t="shared" si="3"/>
        <v>3666</v>
      </c>
      <c r="J29" s="7">
        <f t="shared" si="0"/>
        <v>0.36619352518704235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1.003906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59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96.21+0.86</f>
        <v>97.07</v>
      </c>
      <c r="G7" s="40">
        <f>G8*0.0478</f>
        <v>53.509585720000004</v>
      </c>
      <c r="H7" s="45">
        <f>0.86</f>
        <v>0.86</v>
      </c>
      <c r="I7" s="6">
        <f>38.8719*0.0478</f>
        <v>1.85807682</v>
      </c>
      <c r="J7" s="7">
        <f aca="true" t="shared" si="0" ref="J7:J29">I7/10011.1</f>
        <v>0.00018560166415279038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1119.84+9.16</f>
        <v>1129</v>
      </c>
      <c r="G8" s="6">
        <f>303.23+41.77+774.4474</f>
        <v>1119.4474</v>
      </c>
      <c r="H8" s="6">
        <f>9.16</f>
        <v>9.16</v>
      </c>
      <c r="I8" s="6">
        <f>F8-G8-H8</f>
        <v>0.39259999999998385</v>
      </c>
      <c r="J8" s="7">
        <f t="shared" si="0"/>
        <v>3.9216469718610726E-05</v>
      </c>
      <c r="L8" s="9"/>
    </row>
    <row r="9" spans="1:12" ht="15">
      <c r="A9" s="2">
        <v>3</v>
      </c>
      <c r="B9" s="3" t="s">
        <v>37</v>
      </c>
      <c r="C9" s="6" t="s">
        <v>60</v>
      </c>
      <c r="D9" s="5"/>
      <c r="E9" s="5"/>
      <c r="F9" s="6">
        <f>1481+22</f>
        <v>1503</v>
      </c>
      <c r="G9" s="6">
        <f>931.8258+369.09+26.58</f>
        <v>1327.4958</v>
      </c>
      <c r="H9" s="6">
        <f>23</f>
        <v>23</v>
      </c>
      <c r="I9" s="6">
        <v>38.8719</v>
      </c>
      <c r="J9" s="7">
        <f t="shared" si="0"/>
        <v>0.0038828800031964514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2632</v>
      </c>
      <c r="G10" s="6">
        <f>1640.2432+642.41+56.15+59.76+48.38</f>
        <v>2446.9432</v>
      </c>
      <c r="H10" s="6">
        <f>H8+H9</f>
        <v>32.16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41860</v>
      </c>
      <c r="E11" s="5">
        <v>42290</v>
      </c>
      <c r="F11" s="7">
        <f aca="true" t="shared" si="1" ref="F11:F18">(E11-D11)*1</f>
        <v>430</v>
      </c>
      <c r="G11" s="6">
        <v>0</v>
      </c>
      <c r="H11" s="6">
        <v>0</v>
      </c>
      <c r="I11" s="6">
        <f aca="true" t="shared" si="2" ref="I11:I26">F11-G11-H11</f>
        <v>430</v>
      </c>
      <c r="J11" s="7">
        <f t="shared" si="0"/>
        <v>0.04295232292155707</v>
      </c>
    </row>
    <row r="12" spans="1:10" ht="15">
      <c r="A12" s="57"/>
      <c r="B12" s="3" t="s">
        <v>17</v>
      </c>
      <c r="C12" s="6"/>
      <c r="D12" s="5">
        <v>61950</v>
      </c>
      <c r="E12" s="5">
        <v>62550</v>
      </c>
      <c r="F12" s="7">
        <f t="shared" si="1"/>
        <v>600</v>
      </c>
      <c r="G12" s="6">
        <v>0</v>
      </c>
      <c r="H12" s="6">
        <v>0</v>
      </c>
      <c r="I12" s="6">
        <f t="shared" si="2"/>
        <v>600</v>
      </c>
      <c r="J12" s="7">
        <f t="shared" si="0"/>
        <v>0.05993347384403312</v>
      </c>
    </row>
    <row r="13" spans="1:10" ht="15">
      <c r="A13" s="57"/>
      <c r="B13" s="3" t="s">
        <v>18</v>
      </c>
      <c r="C13" s="6"/>
      <c r="D13" s="5">
        <v>54670</v>
      </c>
      <c r="E13" s="5">
        <v>55100</v>
      </c>
      <c r="F13" s="7">
        <f t="shared" si="1"/>
        <v>430</v>
      </c>
      <c r="G13" s="6">
        <v>0</v>
      </c>
      <c r="H13" s="6">
        <v>0</v>
      </c>
      <c r="I13" s="6">
        <f t="shared" si="2"/>
        <v>430</v>
      </c>
      <c r="J13" s="7">
        <f t="shared" si="0"/>
        <v>0.04295232292155707</v>
      </c>
    </row>
    <row r="14" spans="1:10" ht="15">
      <c r="A14" s="57"/>
      <c r="B14" s="3" t="s">
        <v>19</v>
      </c>
      <c r="C14" s="6"/>
      <c r="D14" s="5">
        <v>64430</v>
      </c>
      <c r="E14" s="5">
        <v>64910</v>
      </c>
      <c r="F14" s="7">
        <f t="shared" si="1"/>
        <v>480</v>
      </c>
      <c r="G14" s="6">
        <v>0</v>
      </c>
      <c r="H14" s="6">
        <v>0</v>
      </c>
      <c r="I14" s="6">
        <f t="shared" si="2"/>
        <v>480</v>
      </c>
      <c r="J14" s="7">
        <f t="shared" si="0"/>
        <v>0.047946779075226494</v>
      </c>
    </row>
    <row r="15" spans="1:10" ht="15">
      <c r="A15" s="57"/>
      <c r="B15" s="3" t="s">
        <v>47</v>
      </c>
      <c r="C15" s="6"/>
      <c r="D15" s="5">
        <v>2065</v>
      </c>
      <c r="E15" s="5">
        <v>2553</v>
      </c>
      <c r="F15" s="42">
        <f t="shared" si="1"/>
        <v>488</v>
      </c>
      <c r="G15" s="6">
        <v>0</v>
      </c>
      <c r="H15" s="6">
        <v>0</v>
      </c>
      <c r="I15" s="6">
        <f t="shared" si="2"/>
        <v>488</v>
      </c>
      <c r="J15" s="7">
        <f t="shared" si="0"/>
        <v>0.048745892059813604</v>
      </c>
    </row>
    <row r="16" spans="1:10" ht="15">
      <c r="A16" s="57"/>
      <c r="B16" s="3" t="s">
        <v>48</v>
      </c>
      <c r="C16" s="6"/>
      <c r="D16" s="5">
        <v>349</v>
      </c>
      <c r="E16" s="5">
        <v>418</v>
      </c>
      <c r="F16" s="42">
        <f t="shared" si="1"/>
        <v>69</v>
      </c>
      <c r="G16" s="6">
        <v>0</v>
      </c>
      <c r="H16" s="6">
        <v>0</v>
      </c>
      <c r="I16" s="6">
        <f t="shared" si="2"/>
        <v>69</v>
      </c>
      <c r="J16" s="7">
        <f t="shared" si="0"/>
        <v>0.006892349492063809</v>
      </c>
    </row>
    <row r="17" spans="1:10" ht="15">
      <c r="A17" s="57"/>
      <c r="B17" s="3" t="s">
        <v>49</v>
      </c>
      <c r="C17" s="6"/>
      <c r="D17" s="5">
        <v>2285</v>
      </c>
      <c r="E17" s="5">
        <v>2835</v>
      </c>
      <c r="F17" s="42">
        <f t="shared" si="1"/>
        <v>550</v>
      </c>
      <c r="G17" s="6">
        <v>0</v>
      </c>
      <c r="H17" s="6">
        <v>0</v>
      </c>
      <c r="I17" s="6">
        <f t="shared" si="2"/>
        <v>550</v>
      </c>
      <c r="J17" s="7">
        <f t="shared" si="0"/>
        <v>0.054939017690363696</v>
      </c>
    </row>
    <row r="18" spans="1:10" ht="15">
      <c r="A18" s="57"/>
      <c r="B18" s="3" t="s">
        <v>50</v>
      </c>
      <c r="C18" s="6"/>
      <c r="D18" s="5">
        <v>435</v>
      </c>
      <c r="E18" s="5">
        <v>529</v>
      </c>
      <c r="F18" s="42">
        <f t="shared" si="1"/>
        <v>94</v>
      </c>
      <c r="G18" s="6">
        <v>0</v>
      </c>
      <c r="H18" s="6">
        <v>0</v>
      </c>
      <c r="I18" s="6">
        <f t="shared" si="2"/>
        <v>94</v>
      </c>
      <c r="J18" s="7">
        <f t="shared" si="0"/>
        <v>0.009389577568898522</v>
      </c>
    </row>
    <row r="19" spans="1:10" ht="15">
      <c r="A19" s="57"/>
      <c r="B19" s="3" t="s">
        <v>24</v>
      </c>
      <c r="C19" s="6"/>
      <c r="D19" s="5">
        <v>3600</v>
      </c>
      <c r="E19" s="5">
        <v>3633</v>
      </c>
      <c r="F19" s="42">
        <f>(E19-D19)*15</f>
        <v>495</v>
      </c>
      <c r="G19" s="6">
        <v>0</v>
      </c>
      <c r="H19" s="6">
        <v>0</v>
      </c>
      <c r="I19" s="6">
        <f t="shared" si="2"/>
        <v>495</v>
      </c>
      <c r="J19" s="7">
        <f t="shared" si="0"/>
        <v>0.049445115921327325</v>
      </c>
    </row>
    <row r="20" spans="1:10" ht="15">
      <c r="A20" s="57"/>
      <c r="B20" s="3" t="s">
        <v>25</v>
      </c>
      <c r="C20" s="6"/>
      <c r="D20" s="5">
        <v>4343</v>
      </c>
      <c r="E20" s="5">
        <v>4380</v>
      </c>
      <c r="F20" s="42">
        <f>(E20-D20)*15</f>
        <v>555</v>
      </c>
      <c r="G20" s="6">
        <v>0</v>
      </c>
      <c r="H20" s="6">
        <v>0</v>
      </c>
      <c r="I20" s="6">
        <f t="shared" si="2"/>
        <v>555</v>
      </c>
      <c r="J20" s="7">
        <f t="shared" si="0"/>
        <v>0.055438463305730636</v>
      </c>
    </row>
    <row r="21" spans="1:10" ht="15">
      <c r="A21" s="57"/>
      <c r="B21" s="3" t="s">
        <v>26</v>
      </c>
      <c r="C21" s="6"/>
      <c r="D21" s="5">
        <v>2071</v>
      </c>
      <c r="E21" s="5">
        <v>2086</v>
      </c>
      <c r="F21" s="42">
        <f>(E21-D21)*15</f>
        <v>225</v>
      </c>
      <c r="G21" s="6">
        <v>0</v>
      </c>
      <c r="H21" s="6">
        <v>0</v>
      </c>
      <c r="I21" s="6">
        <f t="shared" si="2"/>
        <v>225</v>
      </c>
      <c r="J21" s="7">
        <f t="shared" si="0"/>
        <v>0.02247505269151242</v>
      </c>
    </row>
    <row r="22" spans="1:10" ht="15">
      <c r="A22" s="57"/>
      <c r="B22" s="3" t="s">
        <v>27</v>
      </c>
      <c r="C22" s="6"/>
      <c r="D22" s="5">
        <v>2724</v>
      </c>
      <c r="E22" s="5">
        <v>2743</v>
      </c>
      <c r="F22" s="42">
        <f>(E22-D22)*15</f>
        <v>285</v>
      </c>
      <c r="G22" s="6">
        <v>0</v>
      </c>
      <c r="H22" s="6">
        <v>0</v>
      </c>
      <c r="I22" s="6">
        <f t="shared" si="2"/>
        <v>285</v>
      </c>
      <c r="J22" s="7">
        <f t="shared" si="0"/>
        <v>0.028468400075915733</v>
      </c>
    </row>
    <row r="23" spans="1:10" ht="15">
      <c r="A23" s="57"/>
      <c r="B23" s="3" t="s">
        <v>12</v>
      </c>
      <c r="C23" s="6"/>
      <c r="D23" s="5">
        <v>81690</v>
      </c>
      <c r="E23" s="5">
        <v>82330</v>
      </c>
      <c r="F23" s="42">
        <f>(E23-D23)*1</f>
        <v>640</v>
      </c>
      <c r="G23" s="6">
        <v>0</v>
      </c>
      <c r="H23" s="6">
        <v>0</v>
      </c>
      <c r="I23" s="6">
        <f t="shared" si="2"/>
        <v>640</v>
      </c>
      <c r="J23" s="7">
        <f t="shared" si="0"/>
        <v>0.06392903876696866</v>
      </c>
    </row>
    <row r="24" spans="1:10" ht="15">
      <c r="A24" s="57"/>
      <c r="B24" s="3" t="s">
        <v>13</v>
      </c>
      <c r="C24" s="6"/>
      <c r="D24" s="5">
        <v>91470</v>
      </c>
      <c r="E24" s="5">
        <v>92230</v>
      </c>
      <c r="F24" s="42">
        <f>(E24-D24)*1</f>
        <v>760</v>
      </c>
      <c r="G24" s="6">
        <v>0</v>
      </c>
      <c r="H24" s="6">
        <v>0</v>
      </c>
      <c r="I24" s="6">
        <f t="shared" si="2"/>
        <v>760</v>
      </c>
      <c r="J24" s="7">
        <f t="shared" si="0"/>
        <v>0.07591573353577528</v>
      </c>
    </row>
    <row r="25" spans="1:10" ht="15">
      <c r="A25" s="57"/>
      <c r="B25" s="3" t="s">
        <v>15</v>
      </c>
      <c r="C25" s="6"/>
      <c r="D25" s="12">
        <v>9654</v>
      </c>
      <c r="E25" s="12">
        <v>9719</v>
      </c>
      <c r="F25" s="7">
        <f>(E25-D25)*10</f>
        <v>650</v>
      </c>
      <c r="G25" s="6">
        <v>0</v>
      </c>
      <c r="H25" s="6">
        <v>0</v>
      </c>
      <c r="I25" s="6">
        <f t="shared" si="2"/>
        <v>650</v>
      </c>
      <c r="J25" s="7">
        <f t="shared" si="0"/>
        <v>0.06492792999770254</v>
      </c>
    </row>
    <row r="26" spans="1:10" ht="15">
      <c r="A26" s="57"/>
      <c r="B26" s="3" t="s">
        <v>14</v>
      </c>
      <c r="C26" s="6"/>
      <c r="D26" s="5">
        <v>9581</v>
      </c>
      <c r="E26" s="5">
        <v>9637</v>
      </c>
      <c r="F26" s="7">
        <f>(E26-D26)*10</f>
        <v>560</v>
      </c>
      <c r="G26" s="6">
        <v>0</v>
      </c>
      <c r="H26" s="6">
        <v>0</v>
      </c>
      <c r="I26" s="6">
        <f t="shared" si="2"/>
        <v>560</v>
      </c>
      <c r="J26" s="7">
        <f t="shared" si="0"/>
        <v>0.05593790892109758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7311</v>
      </c>
      <c r="G27" s="44">
        <f>SUM(G11:G26)</f>
        <v>0</v>
      </c>
      <c r="H27" s="44">
        <f>SUM(H11:H26)</f>
        <v>0</v>
      </c>
      <c r="I27" s="44">
        <f>SUM(I11:I26)</f>
        <v>7311</v>
      </c>
      <c r="J27" s="7">
        <f t="shared" si="0"/>
        <v>0.7302893787895436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3908</v>
      </c>
      <c r="G28" s="22">
        <f t="shared" si="3"/>
        <v>0</v>
      </c>
      <c r="H28" s="22">
        <f t="shared" si="3"/>
        <v>0</v>
      </c>
      <c r="I28" s="22">
        <f t="shared" si="3"/>
        <v>3908</v>
      </c>
      <c r="J28" s="7">
        <f t="shared" si="0"/>
        <v>0.3903666929708024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3403</v>
      </c>
      <c r="G29" s="22">
        <f t="shared" si="3"/>
        <v>0</v>
      </c>
      <c r="H29" s="22">
        <f t="shared" si="3"/>
        <v>0</v>
      </c>
      <c r="I29" s="22">
        <f t="shared" si="3"/>
        <v>3403</v>
      </c>
      <c r="J29" s="7">
        <f t="shared" si="0"/>
        <v>0.3399226858187412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H5:H6"/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2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1.003906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62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103.77+0.93</f>
        <v>104.7</v>
      </c>
      <c r="G7" s="40">
        <f>G8*0.0478</f>
        <v>45.2679862</v>
      </c>
      <c r="H7" s="45">
        <f>0.93</f>
        <v>0.93</v>
      </c>
      <c r="I7" s="40">
        <f>I8*0.0478</f>
        <v>1.85807682</v>
      </c>
      <c r="J7" s="7">
        <f aca="true" t="shared" si="0" ref="J7:J29">I7/10011.1</f>
        <v>0.00018560166415279038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1207.43+9.87</f>
        <v>1217.3</v>
      </c>
      <c r="G8" s="6">
        <f>785.96+122.079+38.99</f>
        <v>947.029</v>
      </c>
      <c r="H8" s="6">
        <f>9.87</f>
        <v>9.87</v>
      </c>
      <c r="I8" s="6">
        <v>38.8719</v>
      </c>
      <c r="J8" s="7">
        <f t="shared" si="0"/>
        <v>0.0038828800031964514</v>
      </c>
      <c r="L8" s="9"/>
    </row>
    <row r="9" spans="1:12" ht="15">
      <c r="A9" s="2">
        <v>3</v>
      </c>
      <c r="B9" s="3" t="s">
        <v>37</v>
      </c>
      <c r="C9" s="6" t="s">
        <v>61</v>
      </c>
      <c r="D9" s="5"/>
      <c r="E9" s="5"/>
      <c r="F9" s="6">
        <f>1719+23</f>
        <v>1742</v>
      </c>
      <c r="G9" s="6">
        <f>945.75+246.633+31.783</f>
        <v>1224.166</v>
      </c>
      <c r="H9" s="6">
        <f>17</f>
        <v>17</v>
      </c>
      <c r="I9" s="6">
        <v>38.8717</v>
      </c>
      <c r="J9" s="7">
        <f t="shared" si="0"/>
        <v>0.0038828600253718367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2959.3</v>
      </c>
      <c r="G10" s="6">
        <f>1665.68+334.362+70.223+28.82+73.17</f>
        <v>2172.2550000000006</v>
      </c>
      <c r="H10" s="6">
        <f>H8+H9</f>
        <v>26.869999999999997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42290</v>
      </c>
      <c r="E11" s="5">
        <v>42649</v>
      </c>
      <c r="F11" s="7">
        <f aca="true" t="shared" si="1" ref="F11:F18">(E11-D11)*1</f>
        <v>359</v>
      </c>
      <c r="G11" s="6">
        <v>0</v>
      </c>
      <c r="H11" s="6">
        <v>0</v>
      </c>
      <c r="I11" s="6">
        <f aca="true" t="shared" si="2" ref="I11:I26">F11-G11-H11</f>
        <v>359</v>
      </c>
      <c r="J11" s="7">
        <f t="shared" si="0"/>
        <v>0.03586019518334648</v>
      </c>
    </row>
    <row r="12" spans="1:10" ht="15">
      <c r="A12" s="57"/>
      <c r="B12" s="3" t="s">
        <v>17</v>
      </c>
      <c r="C12" s="6"/>
      <c r="D12" s="5">
        <v>62550</v>
      </c>
      <c r="E12" s="5">
        <v>63015</v>
      </c>
      <c r="F12" s="7">
        <f t="shared" si="1"/>
        <v>465</v>
      </c>
      <c r="G12" s="6">
        <v>0</v>
      </c>
      <c r="H12" s="6">
        <v>0</v>
      </c>
      <c r="I12" s="6">
        <f t="shared" si="2"/>
        <v>465</v>
      </c>
      <c r="J12" s="7">
        <f t="shared" si="0"/>
        <v>0.04644844222912567</v>
      </c>
    </row>
    <row r="13" spans="1:10" ht="15">
      <c r="A13" s="57"/>
      <c r="B13" s="3" t="s">
        <v>18</v>
      </c>
      <c r="C13" s="6"/>
      <c r="D13" s="5">
        <v>55100</v>
      </c>
      <c r="E13" s="5">
        <v>55513</v>
      </c>
      <c r="F13" s="7">
        <f t="shared" si="1"/>
        <v>413</v>
      </c>
      <c r="G13" s="6">
        <v>0</v>
      </c>
      <c r="H13" s="6">
        <v>0</v>
      </c>
      <c r="I13" s="6">
        <f t="shared" si="2"/>
        <v>413</v>
      </c>
      <c r="J13" s="7">
        <f t="shared" si="0"/>
        <v>0.04125420782930946</v>
      </c>
    </row>
    <row r="14" spans="1:10" ht="15">
      <c r="A14" s="57"/>
      <c r="B14" s="3" t="s">
        <v>19</v>
      </c>
      <c r="C14" s="6"/>
      <c r="D14" s="5">
        <v>64910</v>
      </c>
      <c r="E14" s="5">
        <v>65362</v>
      </c>
      <c r="F14" s="7">
        <f t="shared" si="1"/>
        <v>452</v>
      </c>
      <c r="G14" s="6">
        <v>0</v>
      </c>
      <c r="H14" s="6">
        <v>0</v>
      </c>
      <c r="I14" s="6">
        <f t="shared" si="2"/>
        <v>452</v>
      </c>
      <c r="J14" s="7">
        <f t="shared" si="0"/>
        <v>0.04514988362917162</v>
      </c>
    </row>
    <row r="15" spans="1:10" ht="15">
      <c r="A15" s="57"/>
      <c r="B15" s="3" t="s">
        <v>47</v>
      </c>
      <c r="C15" s="6"/>
      <c r="D15" s="5">
        <v>2553</v>
      </c>
      <c r="E15" s="5">
        <v>2915</v>
      </c>
      <c r="F15" s="42">
        <f t="shared" si="1"/>
        <v>362</v>
      </c>
      <c r="G15" s="6">
        <v>0</v>
      </c>
      <c r="H15" s="6">
        <v>0</v>
      </c>
      <c r="I15" s="6">
        <f t="shared" si="2"/>
        <v>362</v>
      </c>
      <c r="J15" s="7">
        <f t="shared" si="0"/>
        <v>0.03615986255256665</v>
      </c>
    </row>
    <row r="16" spans="1:10" ht="15">
      <c r="A16" s="57"/>
      <c r="B16" s="3" t="s">
        <v>48</v>
      </c>
      <c r="C16" s="6"/>
      <c r="D16" s="5">
        <v>418</v>
      </c>
      <c r="E16" s="5">
        <v>471</v>
      </c>
      <c r="F16" s="42">
        <f t="shared" si="1"/>
        <v>53</v>
      </c>
      <c r="G16" s="6">
        <v>0</v>
      </c>
      <c r="H16" s="6">
        <v>0</v>
      </c>
      <c r="I16" s="6">
        <f t="shared" si="2"/>
        <v>53</v>
      </c>
      <c r="J16" s="7">
        <f t="shared" si="0"/>
        <v>0.005294123522889592</v>
      </c>
    </row>
    <row r="17" spans="1:10" ht="15">
      <c r="A17" s="57"/>
      <c r="B17" s="3" t="s">
        <v>49</v>
      </c>
      <c r="C17" s="6"/>
      <c r="D17" s="5">
        <v>2835</v>
      </c>
      <c r="E17" s="5">
        <v>3285</v>
      </c>
      <c r="F17" s="42">
        <f t="shared" si="1"/>
        <v>450</v>
      </c>
      <c r="G17" s="6">
        <v>0</v>
      </c>
      <c r="H17" s="6">
        <v>0</v>
      </c>
      <c r="I17" s="6">
        <f t="shared" si="2"/>
        <v>450</v>
      </c>
      <c r="J17" s="7">
        <f t="shared" si="0"/>
        <v>0.04495010538302484</v>
      </c>
    </row>
    <row r="18" spans="1:10" ht="15">
      <c r="A18" s="57"/>
      <c r="B18" s="3" t="s">
        <v>50</v>
      </c>
      <c r="C18" s="6"/>
      <c r="D18" s="5">
        <v>529</v>
      </c>
      <c r="E18" s="5">
        <v>604</v>
      </c>
      <c r="F18" s="42">
        <f t="shared" si="1"/>
        <v>75</v>
      </c>
      <c r="G18" s="6">
        <v>0</v>
      </c>
      <c r="H18" s="6">
        <v>0</v>
      </c>
      <c r="I18" s="6">
        <f t="shared" si="2"/>
        <v>75</v>
      </c>
      <c r="J18" s="7">
        <f t="shared" si="0"/>
        <v>0.00749168423050414</v>
      </c>
    </row>
    <row r="19" spans="1:10" ht="15">
      <c r="A19" s="57"/>
      <c r="B19" s="3" t="s">
        <v>24</v>
      </c>
      <c r="C19" s="6"/>
      <c r="D19" s="5">
        <v>3633</v>
      </c>
      <c r="E19" s="5">
        <v>3671</v>
      </c>
      <c r="F19" s="42">
        <f>(E19-D19)*15</f>
        <v>570</v>
      </c>
      <c r="G19" s="6">
        <v>0</v>
      </c>
      <c r="H19" s="6">
        <v>0</v>
      </c>
      <c r="I19" s="6">
        <f t="shared" si="2"/>
        <v>570</v>
      </c>
      <c r="J19" s="7">
        <f t="shared" si="0"/>
        <v>0.05693680015183147</v>
      </c>
    </row>
    <row r="20" spans="1:10" ht="15">
      <c r="A20" s="57"/>
      <c r="B20" s="3" t="s">
        <v>25</v>
      </c>
      <c r="C20" s="6"/>
      <c r="D20" s="5">
        <v>4380</v>
      </c>
      <c r="E20" s="5">
        <v>4422</v>
      </c>
      <c r="F20" s="42">
        <f>(E20-D20)*15</f>
        <v>630</v>
      </c>
      <c r="G20" s="6">
        <v>0</v>
      </c>
      <c r="H20" s="6">
        <v>0</v>
      </c>
      <c r="I20" s="6">
        <f t="shared" si="2"/>
        <v>630</v>
      </c>
      <c r="J20" s="7">
        <f t="shared" si="0"/>
        <v>0.06293014753623477</v>
      </c>
    </row>
    <row r="21" spans="1:10" ht="15">
      <c r="A21" s="57"/>
      <c r="B21" s="3" t="s">
        <v>26</v>
      </c>
      <c r="C21" s="6"/>
      <c r="D21" s="5">
        <v>2086</v>
      </c>
      <c r="E21" s="5">
        <v>2102</v>
      </c>
      <c r="F21" s="42">
        <f>(E21-D21)*15</f>
        <v>240</v>
      </c>
      <c r="G21" s="6">
        <v>0</v>
      </c>
      <c r="H21" s="6">
        <v>0</v>
      </c>
      <c r="I21" s="6">
        <f t="shared" si="2"/>
        <v>240</v>
      </c>
      <c r="J21" s="7">
        <f t="shared" si="0"/>
        <v>0.023973389537613247</v>
      </c>
    </row>
    <row r="22" spans="1:10" ht="15">
      <c r="A22" s="57"/>
      <c r="B22" s="3" t="s">
        <v>27</v>
      </c>
      <c r="C22" s="6"/>
      <c r="D22" s="5">
        <v>2743</v>
      </c>
      <c r="E22" s="5">
        <v>2764</v>
      </c>
      <c r="F22" s="42">
        <f>(E22-D22)*15</f>
        <v>315</v>
      </c>
      <c r="G22" s="6">
        <v>0</v>
      </c>
      <c r="H22" s="6">
        <v>0</v>
      </c>
      <c r="I22" s="6">
        <f t="shared" si="2"/>
        <v>315</v>
      </c>
      <c r="J22" s="7">
        <f t="shared" si="0"/>
        <v>0.031465073768117385</v>
      </c>
    </row>
    <row r="23" spans="1:10" ht="15">
      <c r="A23" s="57"/>
      <c r="B23" s="3" t="s">
        <v>12</v>
      </c>
      <c r="C23" s="6"/>
      <c r="D23" s="5">
        <v>82330</v>
      </c>
      <c r="E23" s="5">
        <v>82776</v>
      </c>
      <c r="F23" s="42">
        <f>(E23-D23)*1</f>
        <v>446</v>
      </c>
      <c r="G23" s="6">
        <v>0</v>
      </c>
      <c r="H23" s="6">
        <v>0</v>
      </c>
      <c r="I23" s="6">
        <f t="shared" si="2"/>
        <v>446</v>
      </c>
      <c r="J23" s="7">
        <f t="shared" si="0"/>
        <v>0.04455054889073129</v>
      </c>
    </row>
    <row r="24" spans="1:10" ht="15">
      <c r="A24" s="57"/>
      <c r="B24" s="3" t="s">
        <v>13</v>
      </c>
      <c r="C24" s="6"/>
      <c r="D24" s="5">
        <v>92230</v>
      </c>
      <c r="E24" s="5">
        <v>92697</v>
      </c>
      <c r="F24" s="42">
        <f>(E24-D24)*1</f>
        <v>467</v>
      </c>
      <c r="G24" s="6">
        <v>0</v>
      </c>
      <c r="H24" s="6">
        <v>0</v>
      </c>
      <c r="I24" s="6">
        <f t="shared" si="2"/>
        <v>467</v>
      </c>
      <c r="J24" s="7">
        <f t="shared" si="0"/>
        <v>0.046648220475272444</v>
      </c>
    </row>
    <row r="25" spans="1:10" ht="15">
      <c r="A25" s="57"/>
      <c r="B25" s="3" t="s">
        <v>15</v>
      </c>
      <c r="C25" s="6"/>
      <c r="D25" s="12">
        <v>9719</v>
      </c>
      <c r="E25" s="12">
        <v>9778</v>
      </c>
      <c r="F25" s="7">
        <f>(E25-D25)*10</f>
        <v>590</v>
      </c>
      <c r="G25" s="6">
        <v>0</v>
      </c>
      <c r="H25" s="6">
        <v>0</v>
      </c>
      <c r="I25" s="6">
        <f t="shared" si="2"/>
        <v>590</v>
      </c>
      <c r="J25" s="7">
        <f t="shared" si="0"/>
        <v>0.05893458261329924</v>
      </c>
    </row>
    <row r="26" spans="1:10" ht="15">
      <c r="A26" s="57"/>
      <c r="B26" s="3" t="s">
        <v>14</v>
      </c>
      <c r="C26" s="6"/>
      <c r="D26" s="5">
        <v>9637</v>
      </c>
      <c r="E26" s="5">
        <v>9690</v>
      </c>
      <c r="F26" s="7">
        <f>(E26-D26)*10</f>
        <v>530</v>
      </c>
      <c r="G26" s="6">
        <v>0</v>
      </c>
      <c r="H26" s="6">
        <v>0</v>
      </c>
      <c r="I26" s="6">
        <f t="shared" si="2"/>
        <v>530</v>
      </c>
      <c r="J26" s="7">
        <f t="shared" si="0"/>
        <v>0.052941235228895926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6417</v>
      </c>
      <c r="G27" s="44">
        <f>SUM(G11:G26)</f>
        <v>0</v>
      </c>
      <c r="H27" s="44">
        <f>SUM(H11:H26)</f>
        <v>0</v>
      </c>
      <c r="I27" s="44">
        <f>SUM(I11:I26)</f>
        <v>6417</v>
      </c>
      <c r="J27" s="7">
        <f t="shared" si="0"/>
        <v>0.6409885027619342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3430</v>
      </c>
      <c r="G28" s="22">
        <f t="shared" si="3"/>
        <v>0</v>
      </c>
      <c r="H28" s="22">
        <f t="shared" si="3"/>
        <v>0</v>
      </c>
      <c r="I28" s="22">
        <f t="shared" si="3"/>
        <v>3430</v>
      </c>
      <c r="J28" s="7">
        <f t="shared" si="0"/>
        <v>0.34261969214172266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2987</v>
      </c>
      <c r="G29" s="22">
        <f t="shared" si="3"/>
        <v>0</v>
      </c>
      <c r="H29" s="22">
        <f t="shared" si="3"/>
        <v>0</v>
      </c>
      <c r="I29" s="22">
        <f t="shared" si="3"/>
        <v>2987</v>
      </c>
      <c r="J29" s="7">
        <f t="shared" si="0"/>
        <v>0.29836881062021153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27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9" sqref="B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0" t="s">
        <v>35</v>
      </c>
    </row>
    <row r="4" spans="1:10" ht="15">
      <c r="A4" s="52" t="s">
        <v>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68.25" customHeight="1">
      <c r="A5" s="46" t="s">
        <v>0</v>
      </c>
      <c r="B5" s="48" t="s">
        <v>1</v>
      </c>
      <c r="C5" s="46" t="s">
        <v>2</v>
      </c>
      <c r="D5" s="55" t="s">
        <v>5</v>
      </c>
      <c r="E5" s="56"/>
      <c r="F5" s="46" t="s">
        <v>32</v>
      </c>
      <c r="G5" s="46" t="s">
        <v>31</v>
      </c>
      <c r="H5" s="46" t="s">
        <v>30</v>
      </c>
      <c r="I5" s="46" t="s">
        <v>3</v>
      </c>
      <c r="J5" s="48" t="s">
        <v>4</v>
      </c>
    </row>
    <row r="6" spans="1:10" ht="37.5" customHeight="1">
      <c r="A6" s="47"/>
      <c r="B6" s="49"/>
      <c r="C6" s="47"/>
      <c r="D6" s="11" t="s">
        <v>9</v>
      </c>
      <c r="E6" s="4" t="s">
        <v>10</v>
      </c>
      <c r="F6" s="47"/>
      <c r="G6" s="47"/>
      <c r="H6" s="47"/>
      <c r="I6" s="47"/>
      <c r="J6" s="49"/>
    </row>
    <row r="7" spans="1:12" ht="15">
      <c r="A7" s="2">
        <v>1</v>
      </c>
      <c r="B7" s="3" t="s">
        <v>7</v>
      </c>
      <c r="C7" s="7"/>
      <c r="D7" s="5"/>
      <c r="E7" s="5"/>
      <c r="F7" s="7">
        <f>1099.41+8.99</f>
        <v>1108.4</v>
      </c>
      <c r="G7" s="6">
        <f>797.99+211.177+87.349</f>
        <v>1096.516</v>
      </c>
      <c r="H7" s="6">
        <f>8.99</f>
        <v>8.99</v>
      </c>
      <c r="I7" s="6">
        <f aca="true" t="shared" si="0" ref="I7:I25">F7-G7-H7</f>
        <v>2.8940000000000143</v>
      </c>
      <c r="J7" s="7">
        <f aca="true" t="shared" si="1" ref="J7:J28">I7/10010.6</f>
        <v>0.00028909356082552635</v>
      </c>
      <c r="L7" s="9"/>
    </row>
    <row r="8" spans="1:12" ht="15">
      <c r="A8" s="2">
        <v>2</v>
      </c>
      <c r="B8" s="3" t="s">
        <v>37</v>
      </c>
      <c r="C8" s="6" t="s">
        <v>36</v>
      </c>
      <c r="D8" s="5"/>
      <c r="E8" s="5"/>
      <c r="F8" s="6">
        <f>1518</f>
        <v>1518</v>
      </c>
      <c r="G8" s="6">
        <f>914.7726+418.681+95.01</f>
        <v>1428.4636</v>
      </c>
      <c r="H8" s="6">
        <v>24</v>
      </c>
      <c r="I8" s="6">
        <f t="shared" si="0"/>
        <v>65.53639999999996</v>
      </c>
      <c r="J8" s="7">
        <f t="shared" si="1"/>
        <v>0.006546700497472674</v>
      </c>
      <c r="L8" s="9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2626.4</v>
      </c>
      <c r="G9" s="6">
        <f>1671.1103+790.458+133.209+1.9623</f>
        <v>2596.7396</v>
      </c>
      <c r="H9" s="6">
        <f>H7+H8</f>
        <v>32.99</v>
      </c>
      <c r="I9" s="6">
        <f t="shared" si="0"/>
        <v>-3.329599999999793</v>
      </c>
      <c r="J9" s="7">
        <f t="shared" si="1"/>
        <v>-0.00033260743611769454</v>
      </c>
      <c r="L9" s="9"/>
    </row>
    <row r="10" spans="1:10" ht="15">
      <c r="A10" s="17"/>
      <c r="B10" s="3" t="s">
        <v>16</v>
      </c>
      <c r="C10" s="6"/>
      <c r="D10" s="5">
        <v>39250</v>
      </c>
      <c r="E10" s="5">
        <v>39614</v>
      </c>
      <c r="F10" s="7">
        <f>(E10-D10)*1</f>
        <v>364</v>
      </c>
      <c r="G10" s="6">
        <v>0</v>
      </c>
      <c r="H10" s="6">
        <v>0</v>
      </c>
      <c r="I10" s="6">
        <f t="shared" si="0"/>
        <v>364</v>
      </c>
      <c r="J10" s="7">
        <f t="shared" si="1"/>
        <v>0.03636145685573292</v>
      </c>
    </row>
    <row r="11" spans="1:10" ht="15">
      <c r="A11" s="17"/>
      <c r="B11" s="3" t="s">
        <v>17</v>
      </c>
      <c r="C11" s="6"/>
      <c r="D11" s="5">
        <v>57660</v>
      </c>
      <c r="E11" s="5">
        <v>58117</v>
      </c>
      <c r="F11" s="7">
        <f>(E11-D11)*1</f>
        <v>457</v>
      </c>
      <c r="G11" s="6">
        <v>0</v>
      </c>
      <c r="H11" s="6">
        <v>0</v>
      </c>
      <c r="I11" s="6">
        <f t="shared" si="0"/>
        <v>457</v>
      </c>
      <c r="J11" s="7">
        <f t="shared" si="1"/>
        <v>0.0456516092941482</v>
      </c>
    </row>
    <row r="12" spans="1:10" ht="15">
      <c r="A12" s="17"/>
      <c r="B12" s="3" t="s">
        <v>18</v>
      </c>
      <c r="C12" s="6"/>
      <c r="D12" s="5">
        <v>51340</v>
      </c>
      <c r="E12" s="5">
        <v>51842</v>
      </c>
      <c r="F12" s="7">
        <f>(E12-D12)*1</f>
        <v>502</v>
      </c>
      <c r="G12" s="6">
        <v>0</v>
      </c>
      <c r="H12" s="6">
        <v>0</v>
      </c>
      <c r="I12" s="6">
        <f t="shared" si="0"/>
        <v>502</v>
      </c>
      <c r="J12" s="7">
        <f t="shared" si="1"/>
        <v>0.05014684434499431</v>
      </c>
    </row>
    <row r="13" spans="1:10" ht="15">
      <c r="A13" s="17"/>
      <c r="B13" s="3" t="s">
        <v>19</v>
      </c>
      <c r="C13" s="6"/>
      <c r="D13" s="5">
        <v>60210</v>
      </c>
      <c r="E13" s="5">
        <v>60774</v>
      </c>
      <c r="F13" s="7">
        <f>(E13-D13)*1</f>
        <v>564</v>
      </c>
      <c r="G13" s="6">
        <v>0</v>
      </c>
      <c r="H13" s="6">
        <v>0</v>
      </c>
      <c r="I13" s="6">
        <f t="shared" si="0"/>
        <v>564</v>
      </c>
      <c r="J13" s="7">
        <f t="shared" si="1"/>
        <v>0.056340279303937826</v>
      </c>
    </row>
    <row r="14" spans="1:10" ht="15">
      <c r="A14" s="17"/>
      <c r="B14" s="3" t="s">
        <v>20</v>
      </c>
      <c r="C14" s="6"/>
      <c r="D14" s="5">
        <v>4064</v>
      </c>
      <c r="E14" s="5">
        <v>4067</v>
      </c>
      <c r="F14" s="27">
        <f>(E14-D14)*10</f>
        <v>30</v>
      </c>
      <c r="G14" s="6">
        <v>0</v>
      </c>
      <c r="H14" s="6">
        <v>0</v>
      </c>
      <c r="I14" s="6">
        <f t="shared" si="0"/>
        <v>30</v>
      </c>
      <c r="J14" s="7">
        <f t="shared" si="1"/>
        <v>0.0029968233672307354</v>
      </c>
    </row>
    <row r="15" spans="1:10" ht="15">
      <c r="A15" s="17"/>
      <c r="B15" s="3" t="s">
        <v>21</v>
      </c>
      <c r="C15" s="6"/>
      <c r="D15" s="5">
        <v>2464</v>
      </c>
      <c r="E15" s="5">
        <v>2485</v>
      </c>
      <c r="F15" s="27">
        <f>(E15-D15)*10</f>
        <v>210</v>
      </c>
      <c r="G15" s="6">
        <v>0</v>
      </c>
      <c r="H15" s="6">
        <v>0</v>
      </c>
      <c r="I15" s="6">
        <f t="shared" si="0"/>
        <v>210</v>
      </c>
      <c r="J15" s="7">
        <f t="shared" si="1"/>
        <v>0.02097776357061515</v>
      </c>
    </row>
    <row r="16" spans="1:10" ht="15">
      <c r="A16" s="17"/>
      <c r="B16" s="3" t="s">
        <v>22</v>
      </c>
      <c r="C16" s="6"/>
      <c r="D16" s="5">
        <v>4301</v>
      </c>
      <c r="E16" s="5">
        <v>4351</v>
      </c>
      <c r="F16" s="27">
        <f>(E16-D16)*10</f>
        <v>500</v>
      </c>
      <c r="G16" s="6">
        <v>0</v>
      </c>
      <c r="H16" s="6">
        <v>0</v>
      </c>
      <c r="I16" s="6">
        <f t="shared" si="0"/>
        <v>500</v>
      </c>
      <c r="J16" s="7">
        <f t="shared" si="1"/>
        <v>0.049947056120512257</v>
      </c>
    </row>
    <row r="17" spans="1:10" ht="15">
      <c r="A17" s="17"/>
      <c r="B17" s="3" t="s">
        <v>23</v>
      </c>
      <c r="C17" s="6"/>
      <c r="D17" s="5">
        <v>2498</v>
      </c>
      <c r="E17" s="5">
        <v>2518</v>
      </c>
      <c r="F17" s="27">
        <f>(E17-D17)*10</f>
        <v>200</v>
      </c>
      <c r="G17" s="6">
        <v>0</v>
      </c>
      <c r="H17" s="6">
        <v>0</v>
      </c>
      <c r="I17" s="6">
        <f t="shared" si="0"/>
        <v>200</v>
      </c>
      <c r="J17" s="7">
        <f t="shared" si="1"/>
        <v>0.0199788224482049</v>
      </c>
    </row>
    <row r="18" spans="1:10" ht="15">
      <c r="A18" s="17"/>
      <c r="B18" s="3" t="s">
        <v>24</v>
      </c>
      <c r="C18" s="6"/>
      <c r="D18" s="5">
        <v>3311</v>
      </c>
      <c r="E18" s="5">
        <v>3354</v>
      </c>
      <c r="F18" s="27">
        <f>(E18-D18)*15</f>
        <v>645</v>
      </c>
      <c r="G18" s="6">
        <v>0</v>
      </c>
      <c r="H18" s="6">
        <v>0</v>
      </c>
      <c r="I18" s="6">
        <f t="shared" si="0"/>
        <v>645</v>
      </c>
      <c r="J18" s="7">
        <f t="shared" si="1"/>
        <v>0.06443170239546081</v>
      </c>
    </row>
    <row r="19" spans="1:10" ht="15">
      <c r="A19" s="17"/>
      <c r="B19" s="3" t="s">
        <v>25</v>
      </c>
      <c r="C19" s="6"/>
      <c r="D19" s="5">
        <v>3985</v>
      </c>
      <c r="E19" s="5">
        <v>4031</v>
      </c>
      <c r="F19" s="27">
        <f>(E19-D19)*15</f>
        <v>690</v>
      </c>
      <c r="G19" s="6">
        <v>0</v>
      </c>
      <c r="H19" s="6">
        <v>0</v>
      </c>
      <c r="I19" s="6">
        <f t="shared" si="0"/>
        <v>690</v>
      </c>
      <c r="J19" s="7">
        <f t="shared" si="1"/>
        <v>0.06892693744630692</v>
      </c>
    </row>
    <row r="20" spans="1:10" ht="15">
      <c r="A20" s="17"/>
      <c r="B20" s="3" t="s">
        <v>26</v>
      </c>
      <c r="C20" s="6"/>
      <c r="D20" s="5">
        <v>1959</v>
      </c>
      <c r="E20" s="5">
        <v>1970</v>
      </c>
      <c r="F20" s="27">
        <f>(E20-D20)*15</f>
        <v>165</v>
      </c>
      <c r="G20" s="6">
        <v>0</v>
      </c>
      <c r="H20" s="6">
        <v>0</v>
      </c>
      <c r="I20" s="6">
        <f t="shared" si="0"/>
        <v>165</v>
      </c>
      <c r="J20" s="7">
        <f t="shared" si="1"/>
        <v>0.016482528519769044</v>
      </c>
    </row>
    <row r="21" spans="1:10" ht="15">
      <c r="A21" s="17"/>
      <c r="B21" s="3" t="s">
        <v>27</v>
      </c>
      <c r="C21" s="6"/>
      <c r="D21" s="5"/>
      <c r="E21" s="5"/>
      <c r="F21" s="27">
        <f>(E21-D21)*15+813</f>
        <v>813</v>
      </c>
      <c r="G21" s="6">
        <v>0</v>
      </c>
      <c r="H21" s="6">
        <v>0</v>
      </c>
      <c r="I21" s="6">
        <f t="shared" si="0"/>
        <v>813</v>
      </c>
      <c r="J21" s="7">
        <f t="shared" si="1"/>
        <v>0.08121391325195293</v>
      </c>
    </row>
    <row r="22" spans="1:10" ht="15">
      <c r="A22" s="50">
        <v>4</v>
      </c>
      <c r="B22" s="3" t="s">
        <v>12</v>
      </c>
      <c r="C22" s="6"/>
      <c r="D22" s="5">
        <v>77080</v>
      </c>
      <c r="E22" s="5">
        <v>77640</v>
      </c>
      <c r="F22" s="27">
        <f>(E22-D22)*1</f>
        <v>560</v>
      </c>
      <c r="G22" s="6">
        <v>0</v>
      </c>
      <c r="H22" s="6"/>
      <c r="I22" s="6">
        <f t="shared" si="0"/>
        <v>560</v>
      </c>
      <c r="J22" s="7">
        <f t="shared" si="1"/>
        <v>0.055940702854973726</v>
      </c>
    </row>
    <row r="23" spans="1:10" ht="15">
      <c r="A23" s="51"/>
      <c r="B23" s="3" t="s">
        <v>13</v>
      </c>
      <c r="C23" s="6"/>
      <c r="D23" s="5">
        <v>86080</v>
      </c>
      <c r="E23" s="5">
        <v>86720</v>
      </c>
      <c r="F23" s="27">
        <f>(E23-D23)*1</f>
        <v>640</v>
      </c>
      <c r="G23" s="6">
        <v>0</v>
      </c>
      <c r="H23" s="6"/>
      <c r="I23" s="6">
        <f t="shared" si="0"/>
        <v>640</v>
      </c>
      <c r="J23" s="7">
        <f t="shared" si="1"/>
        <v>0.06393223183425568</v>
      </c>
    </row>
    <row r="24" spans="1:10" ht="15">
      <c r="A24" s="51"/>
      <c r="B24" s="3" t="s">
        <v>15</v>
      </c>
      <c r="C24" s="6"/>
      <c r="D24" s="12">
        <v>9102</v>
      </c>
      <c r="E24" s="12">
        <v>9180</v>
      </c>
      <c r="F24" s="7">
        <f>(E24-D24)*10</f>
        <v>780</v>
      </c>
      <c r="G24" s="6">
        <v>0</v>
      </c>
      <c r="H24" s="6">
        <v>0</v>
      </c>
      <c r="I24" s="6">
        <f t="shared" si="0"/>
        <v>780</v>
      </c>
      <c r="J24" s="7">
        <f t="shared" si="1"/>
        <v>0.07791740754799911</v>
      </c>
    </row>
    <row r="25" spans="1:10" ht="15">
      <c r="A25" s="13"/>
      <c r="B25" s="3" t="s">
        <v>14</v>
      </c>
      <c r="C25" s="14"/>
      <c r="D25" s="5">
        <v>9066</v>
      </c>
      <c r="E25" s="26">
        <v>9129</v>
      </c>
      <c r="F25" s="7">
        <f>(E25-D25)*10</f>
        <v>630</v>
      </c>
      <c r="G25" s="6">
        <v>0</v>
      </c>
      <c r="H25" s="14">
        <v>0</v>
      </c>
      <c r="I25" s="6">
        <f t="shared" si="0"/>
        <v>630</v>
      </c>
      <c r="J25" s="7">
        <f t="shared" si="1"/>
        <v>0.06293329071184545</v>
      </c>
    </row>
    <row r="26" spans="1:10" ht="15">
      <c r="A26" s="15"/>
      <c r="B26" s="15" t="s">
        <v>11</v>
      </c>
      <c r="C26" s="15"/>
      <c r="D26" s="8"/>
      <c r="E26" s="15"/>
      <c r="F26" s="16">
        <f>SUM(F10:F25)</f>
        <v>7750</v>
      </c>
      <c r="G26" s="16">
        <f>SUM(G10:G25)</f>
        <v>0</v>
      </c>
      <c r="H26" s="16">
        <f>SUM(H10:H25)</f>
        <v>0</v>
      </c>
      <c r="I26" s="16">
        <f>SUM(I10:I25)</f>
        <v>7750</v>
      </c>
      <c r="J26" s="7">
        <f t="shared" si="1"/>
        <v>0.77417936986794</v>
      </c>
    </row>
    <row r="27" spans="1:12" ht="15">
      <c r="A27" s="20"/>
      <c r="B27" s="20"/>
      <c r="C27" s="20"/>
      <c r="D27" s="21"/>
      <c r="E27" s="20" t="s">
        <v>28</v>
      </c>
      <c r="F27" s="22">
        <f aca="true" t="shared" si="2" ref="F27:I28">F10+F12+F14+F16+F18+F20+F22+F24</f>
        <v>3546</v>
      </c>
      <c r="G27" s="22">
        <f t="shared" si="2"/>
        <v>0</v>
      </c>
      <c r="H27" s="22">
        <f t="shared" si="2"/>
        <v>0</v>
      </c>
      <c r="I27" s="22">
        <f t="shared" si="2"/>
        <v>3546</v>
      </c>
      <c r="J27" s="7">
        <f t="shared" si="1"/>
        <v>0.3542245220066729</v>
      </c>
      <c r="K27" s="23"/>
      <c r="L27" s="9"/>
    </row>
    <row r="28" spans="1:12" ht="15">
      <c r="A28" s="20"/>
      <c r="B28" s="20"/>
      <c r="C28" s="20"/>
      <c r="D28" s="21"/>
      <c r="E28" s="20" t="s">
        <v>29</v>
      </c>
      <c r="F28" s="22">
        <f t="shared" si="2"/>
        <v>4204</v>
      </c>
      <c r="G28" s="22">
        <f t="shared" si="2"/>
        <v>0</v>
      </c>
      <c r="H28" s="22">
        <f t="shared" si="2"/>
        <v>0</v>
      </c>
      <c r="I28" s="22">
        <f t="shared" si="2"/>
        <v>4204</v>
      </c>
      <c r="J28" s="7">
        <f t="shared" si="1"/>
        <v>0.419954847861267</v>
      </c>
      <c r="K28" s="23"/>
      <c r="L28" s="9"/>
    </row>
    <row r="29" spans="1:8" ht="15">
      <c r="A29" s="1"/>
      <c r="B29" s="1"/>
      <c r="C29" s="1"/>
      <c r="D29" s="1"/>
      <c r="E29" s="1"/>
      <c r="F29" s="19"/>
      <c r="G29" s="24"/>
      <c r="H29" s="25"/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22:A24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28" sqref="J2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0" t="s">
        <v>38</v>
      </c>
    </row>
    <row r="4" spans="1:10" ht="15">
      <c r="A4" s="52" t="s">
        <v>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68.25" customHeight="1">
      <c r="A5" s="46" t="s">
        <v>0</v>
      </c>
      <c r="B5" s="48" t="s">
        <v>1</v>
      </c>
      <c r="C5" s="46" t="s">
        <v>2</v>
      </c>
      <c r="D5" s="55" t="s">
        <v>5</v>
      </c>
      <c r="E5" s="56"/>
      <c r="F5" s="46" t="s">
        <v>32</v>
      </c>
      <c r="G5" s="46" t="s">
        <v>31</v>
      </c>
      <c r="H5" s="46" t="s">
        <v>30</v>
      </c>
      <c r="I5" s="46" t="s">
        <v>3</v>
      </c>
      <c r="J5" s="48" t="s">
        <v>4</v>
      </c>
    </row>
    <row r="6" spans="1:10" ht="37.5" customHeight="1">
      <c r="A6" s="47"/>
      <c r="B6" s="49"/>
      <c r="C6" s="47"/>
      <c r="D6" s="11" t="s">
        <v>9</v>
      </c>
      <c r="E6" s="4" t="s">
        <v>10</v>
      </c>
      <c r="F6" s="47"/>
      <c r="G6" s="47"/>
      <c r="H6" s="47"/>
      <c r="I6" s="47"/>
      <c r="J6" s="49"/>
    </row>
    <row r="7" spans="1:12" ht="15">
      <c r="A7" s="2">
        <v>1</v>
      </c>
      <c r="B7" s="3" t="s">
        <v>7</v>
      </c>
      <c r="C7" s="7"/>
      <c r="D7" s="5"/>
      <c r="E7" s="5"/>
      <c r="F7" s="7">
        <f>1155.25+9.45</f>
        <v>1164.7</v>
      </c>
      <c r="G7" s="6">
        <f>769.92+282.85+32.37</f>
        <v>1085.1399999999999</v>
      </c>
      <c r="H7" s="6">
        <f>9.45</f>
        <v>9.45</v>
      </c>
      <c r="I7" s="6">
        <f aca="true" t="shared" si="0" ref="I7:I25">F7-G7-H7</f>
        <v>70.11000000000017</v>
      </c>
      <c r="J7" s="7">
        <f>I7/10009.8</f>
        <v>0.0070041359467721805</v>
      </c>
      <c r="L7" s="9"/>
    </row>
    <row r="8" spans="1:12" ht="15">
      <c r="A8" s="2">
        <v>2</v>
      </c>
      <c r="B8" s="3" t="s">
        <v>37</v>
      </c>
      <c r="C8" s="6" t="s">
        <v>39</v>
      </c>
      <c r="D8" s="5"/>
      <c r="E8" s="5"/>
      <c r="F8" s="6">
        <v>1335</v>
      </c>
      <c r="G8" s="6">
        <f>897.25+340.42+12.87</f>
        <v>1250.54</v>
      </c>
      <c r="H8" s="6">
        <v>18</v>
      </c>
      <c r="I8" s="6">
        <f t="shared" si="0"/>
        <v>66.46000000000004</v>
      </c>
      <c r="J8" s="7">
        <f aca="true" t="shared" si="1" ref="J8:J28">I8/10009.8</f>
        <v>0.006639493296569366</v>
      </c>
      <c r="L8" s="9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2499.7</v>
      </c>
      <c r="G9" s="6">
        <f>1621.38+582.41+23.33+90.84+17.72</f>
        <v>2335.68</v>
      </c>
      <c r="H9" s="6">
        <f>H7+H8</f>
        <v>27.45</v>
      </c>
      <c r="I9" s="6">
        <f t="shared" si="0"/>
        <v>136.57</v>
      </c>
      <c r="J9" s="7">
        <f t="shared" si="1"/>
        <v>0.013643629243341525</v>
      </c>
      <c r="L9" s="9"/>
    </row>
    <row r="10" spans="1:10" ht="15">
      <c r="A10" s="17"/>
      <c r="B10" s="3" t="s">
        <v>16</v>
      </c>
      <c r="C10" s="6"/>
      <c r="D10" s="5">
        <v>39614</v>
      </c>
      <c r="E10" s="5">
        <v>39900</v>
      </c>
      <c r="F10" s="7">
        <f>(E10-D10)*1</f>
        <v>286</v>
      </c>
      <c r="G10" s="6">
        <v>0</v>
      </c>
      <c r="H10" s="6">
        <v>0</v>
      </c>
      <c r="I10" s="6">
        <f t="shared" si="0"/>
        <v>286</v>
      </c>
      <c r="J10" s="7">
        <f t="shared" si="1"/>
        <v>0.028571999440548265</v>
      </c>
    </row>
    <row r="11" spans="1:10" ht="15">
      <c r="A11" s="17"/>
      <c r="B11" s="3" t="s">
        <v>17</v>
      </c>
      <c r="C11" s="6"/>
      <c r="D11" s="5">
        <v>58117</v>
      </c>
      <c r="E11" s="5">
        <v>58510</v>
      </c>
      <c r="F11" s="7">
        <f>(E11-D11)*1</f>
        <v>393</v>
      </c>
      <c r="G11" s="6">
        <v>0</v>
      </c>
      <c r="H11" s="6">
        <v>0</v>
      </c>
      <c r="I11" s="6">
        <f t="shared" si="0"/>
        <v>393</v>
      </c>
      <c r="J11" s="7">
        <f t="shared" si="1"/>
        <v>0.03926152370676737</v>
      </c>
    </row>
    <row r="12" spans="1:10" ht="15">
      <c r="A12" s="17"/>
      <c r="B12" s="3" t="s">
        <v>18</v>
      </c>
      <c r="C12" s="6"/>
      <c r="D12" s="5">
        <v>51842</v>
      </c>
      <c r="E12" s="5">
        <v>52210</v>
      </c>
      <c r="F12" s="7">
        <f>(E12-D12)*1</f>
        <v>368</v>
      </c>
      <c r="G12" s="6">
        <v>0</v>
      </c>
      <c r="H12" s="6">
        <v>0</v>
      </c>
      <c r="I12" s="6">
        <f t="shared" si="0"/>
        <v>368</v>
      </c>
      <c r="J12" s="7">
        <f t="shared" si="1"/>
        <v>0.036763971308118044</v>
      </c>
    </row>
    <row r="13" spans="1:10" ht="15">
      <c r="A13" s="17"/>
      <c r="B13" s="3" t="s">
        <v>19</v>
      </c>
      <c r="C13" s="6"/>
      <c r="D13" s="5">
        <v>60774</v>
      </c>
      <c r="E13" s="5">
        <v>61210</v>
      </c>
      <c r="F13" s="7">
        <f>(E13-D13)*1</f>
        <v>436</v>
      </c>
      <c r="G13" s="6">
        <v>0</v>
      </c>
      <c r="H13" s="6">
        <v>0</v>
      </c>
      <c r="I13" s="6">
        <f t="shared" si="0"/>
        <v>436</v>
      </c>
      <c r="J13" s="7">
        <f t="shared" si="1"/>
        <v>0.04355731383244421</v>
      </c>
    </row>
    <row r="14" spans="1:10" ht="15">
      <c r="A14" s="17"/>
      <c r="B14" s="3" t="s">
        <v>20</v>
      </c>
      <c r="C14" s="6"/>
      <c r="D14" s="5">
        <v>4067</v>
      </c>
      <c r="E14" s="5">
        <v>4067</v>
      </c>
      <c r="F14" s="27">
        <f>(E14-D14)*10</f>
        <v>0</v>
      </c>
      <c r="G14" s="6">
        <v>0</v>
      </c>
      <c r="H14" s="6">
        <v>0</v>
      </c>
      <c r="I14" s="6">
        <f t="shared" si="0"/>
        <v>0</v>
      </c>
      <c r="J14" s="7">
        <f t="shared" si="1"/>
        <v>0</v>
      </c>
    </row>
    <row r="15" spans="1:10" ht="15">
      <c r="A15" s="17"/>
      <c r="B15" s="3" t="s">
        <v>21</v>
      </c>
      <c r="C15" s="6"/>
      <c r="D15" s="5">
        <v>2485</v>
      </c>
      <c r="E15" s="5">
        <v>2503</v>
      </c>
      <c r="F15" s="27">
        <f>(E15-D15)*10</f>
        <v>180</v>
      </c>
      <c r="G15" s="6">
        <v>0</v>
      </c>
      <c r="H15" s="6">
        <v>0</v>
      </c>
      <c r="I15" s="6">
        <f t="shared" si="0"/>
        <v>180</v>
      </c>
      <c r="J15" s="7">
        <f t="shared" si="1"/>
        <v>0.017982377270275133</v>
      </c>
    </row>
    <row r="16" spans="1:10" ht="15">
      <c r="A16" s="17"/>
      <c r="B16" s="3" t="s">
        <v>22</v>
      </c>
      <c r="C16" s="6"/>
      <c r="D16" s="5">
        <v>4351</v>
      </c>
      <c r="E16" s="5">
        <v>4375</v>
      </c>
      <c r="F16" s="27">
        <f>(E16-D16)*10</f>
        <v>240</v>
      </c>
      <c r="G16" s="6">
        <v>0</v>
      </c>
      <c r="H16" s="6">
        <v>0</v>
      </c>
      <c r="I16" s="6">
        <f t="shared" si="0"/>
        <v>240</v>
      </c>
      <c r="J16" s="7">
        <f t="shared" si="1"/>
        <v>0.02397650302703351</v>
      </c>
    </row>
    <row r="17" spans="1:10" ht="15">
      <c r="A17" s="17"/>
      <c r="B17" s="3" t="s">
        <v>23</v>
      </c>
      <c r="C17" s="6"/>
      <c r="D17" s="5">
        <v>2518</v>
      </c>
      <c r="E17" s="5">
        <v>2536</v>
      </c>
      <c r="F17" s="27">
        <f>(E17-D17)*10</f>
        <v>180</v>
      </c>
      <c r="G17" s="6">
        <v>0</v>
      </c>
      <c r="H17" s="6">
        <v>0</v>
      </c>
      <c r="I17" s="6">
        <f t="shared" si="0"/>
        <v>180</v>
      </c>
      <c r="J17" s="7">
        <f t="shared" si="1"/>
        <v>0.017982377270275133</v>
      </c>
    </row>
    <row r="18" spans="1:10" ht="15">
      <c r="A18" s="17"/>
      <c r="B18" s="3" t="s">
        <v>24</v>
      </c>
      <c r="C18" s="6"/>
      <c r="D18" s="5">
        <v>3354</v>
      </c>
      <c r="E18" s="5">
        <v>3386</v>
      </c>
      <c r="F18" s="27">
        <f>(E18-D18)*15</f>
        <v>480</v>
      </c>
      <c r="G18" s="6">
        <v>0</v>
      </c>
      <c r="H18" s="6">
        <v>0</v>
      </c>
      <c r="I18" s="6">
        <f t="shared" si="0"/>
        <v>480</v>
      </c>
      <c r="J18" s="7">
        <f t="shared" si="1"/>
        <v>0.04795300605406702</v>
      </c>
    </row>
    <row r="19" spans="1:10" ht="15">
      <c r="A19" s="17"/>
      <c r="B19" s="3" t="s">
        <v>25</v>
      </c>
      <c r="C19" s="6"/>
      <c r="D19" s="5">
        <v>4031</v>
      </c>
      <c r="E19" s="5">
        <v>4071</v>
      </c>
      <c r="F19" s="27">
        <f>(E19-D19)*15</f>
        <v>600</v>
      </c>
      <c r="G19" s="6">
        <v>0</v>
      </c>
      <c r="H19" s="6">
        <v>0</v>
      </c>
      <c r="I19" s="6">
        <f t="shared" si="0"/>
        <v>600</v>
      </c>
      <c r="J19" s="7">
        <f t="shared" si="1"/>
        <v>0.05994125756758377</v>
      </c>
    </row>
    <row r="20" spans="1:10" ht="15">
      <c r="A20" s="17"/>
      <c r="B20" s="3" t="s">
        <v>26</v>
      </c>
      <c r="C20" s="6"/>
      <c r="D20" s="5">
        <v>1970</v>
      </c>
      <c r="E20" s="5">
        <v>1980</v>
      </c>
      <c r="F20" s="27">
        <f>(E20-D20)*15</f>
        <v>150</v>
      </c>
      <c r="G20" s="6">
        <v>0</v>
      </c>
      <c r="H20" s="6">
        <v>0</v>
      </c>
      <c r="I20" s="6">
        <f t="shared" si="0"/>
        <v>150</v>
      </c>
      <c r="J20" s="7">
        <f t="shared" si="1"/>
        <v>0.014985314391895942</v>
      </c>
    </row>
    <row r="21" spans="1:10" ht="15">
      <c r="A21" s="17"/>
      <c r="B21" s="3" t="s">
        <v>27</v>
      </c>
      <c r="C21" s="6"/>
      <c r="D21" s="5">
        <v>2652.2</v>
      </c>
      <c r="E21" s="5">
        <v>2652.2</v>
      </c>
      <c r="F21" s="27">
        <f>(E21-D21)*15</f>
        <v>0</v>
      </c>
      <c r="G21" s="6">
        <v>0</v>
      </c>
      <c r="H21" s="6">
        <v>0</v>
      </c>
      <c r="I21" s="6">
        <f t="shared" si="0"/>
        <v>0</v>
      </c>
      <c r="J21" s="7">
        <f t="shared" si="1"/>
        <v>0</v>
      </c>
    </row>
    <row r="22" spans="1:10" ht="15">
      <c r="A22" s="50">
        <v>4</v>
      </c>
      <c r="B22" s="3" t="s">
        <v>12</v>
      </c>
      <c r="C22" s="6"/>
      <c r="D22" s="5">
        <v>77640</v>
      </c>
      <c r="E22" s="5">
        <v>78160</v>
      </c>
      <c r="F22" s="27">
        <f>(E22-D22)*1</f>
        <v>520</v>
      </c>
      <c r="G22" s="6">
        <v>0</v>
      </c>
      <c r="H22" s="6">
        <v>0</v>
      </c>
      <c r="I22" s="6">
        <f t="shared" si="0"/>
        <v>520</v>
      </c>
      <c r="J22" s="7">
        <f t="shared" si="1"/>
        <v>0.051949089891905935</v>
      </c>
    </row>
    <row r="23" spans="1:10" ht="15">
      <c r="A23" s="51"/>
      <c r="B23" s="3" t="s">
        <v>13</v>
      </c>
      <c r="C23" s="6"/>
      <c r="D23" s="5">
        <v>86720</v>
      </c>
      <c r="E23" s="5">
        <v>87330</v>
      </c>
      <c r="F23" s="27">
        <f>(E23-D23)*1</f>
        <v>610</v>
      </c>
      <c r="G23" s="6">
        <v>0</v>
      </c>
      <c r="H23" s="6">
        <v>0</v>
      </c>
      <c r="I23" s="6">
        <f t="shared" si="0"/>
        <v>610</v>
      </c>
      <c r="J23" s="7">
        <f t="shared" si="1"/>
        <v>0.0609402785270435</v>
      </c>
    </row>
    <row r="24" spans="1:10" ht="15">
      <c r="A24" s="51"/>
      <c r="B24" s="3" t="s">
        <v>15</v>
      </c>
      <c r="C24" s="6"/>
      <c r="D24" s="12">
        <v>9180</v>
      </c>
      <c r="E24" s="12">
        <v>9234</v>
      </c>
      <c r="F24" s="7">
        <f>(E24-D24)*10</f>
        <v>540</v>
      </c>
      <c r="G24" s="6">
        <v>0</v>
      </c>
      <c r="H24" s="6">
        <v>0</v>
      </c>
      <c r="I24" s="6">
        <f t="shared" si="0"/>
        <v>540</v>
      </c>
      <c r="J24" s="7">
        <f t="shared" si="1"/>
        <v>0.053947131810825395</v>
      </c>
    </row>
    <row r="25" spans="1:10" ht="15">
      <c r="A25" s="13"/>
      <c r="B25" s="3" t="s">
        <v>14</v>
      </c>
      <c r="C25" s="14"/>
      <c r="D25" s="5">
        <v>9129</v>
      </c>
      <c r="E25" s="26">
        <v>9175</v>
      </c>
      <c r="F25" s="7">
        <f>(E25-D25)*10</f>
        <v>460</v>
      </c>
      <c r="G25" s="6">
        <v>0</v>
      </c>
      <c r="H25" s="14">
        <v>0</v>
      </c>
      <c r="I25" s="6">
        <f t="shared" si="0"/>
        <v>460</v>
      </c>
      <c r="J25" s="7">
        <f t="shared" si="1"/>
        <v>0.04595496413514756</v>
      </c>
    </row>
    <row r="26" spans="1:10" ht="15">
      <c r="A26" s="15"/>
      <c r="B26" s="15" t="s">
        <v>11</v>
      </c>
      <c r="C26" s="15"/>
      <c r="D26" s="8"/>
      <c r="E26" s="15"/>
      <c r="F26" s="16">
        <f>SUM(F10:F25)</f>
        <v>5443</v>
      </c>
      <c r="G26" s="16">
        <f>SUM(G10:G25)</f>
        <v>0</v>
      </c>
      <c r="H26" s="16">
        <f>SUM(H10:H25)</f>
        <v>0</v>
      </c>
      <c r="I26" s="16">
        <f>SUM(I10:I25)</f>
        <v>5443</v>
      </c>
      <c r="J26" s="7">
        <f t="shared" si="1"/>
        <v>0.5437671082339308</v>
      </c>
    </row>
    <row r="27" spans="1:12" ht="15">
      <c r="A27" s="20"/>
      <c r="B27" s="20"/>
      <c r="C27" s="20"/>
      <c r="D27" s="21"/>
      <c r="E27" s="20" t="s">
        <v>28</v>
      </c>
      <c r="F27" s="22">
        <f aca="true" t="shared" si="2" ref="F27:I28">F10+F12+F14+F16+F18+F20+F22+F24</f>
        <v>2584</v>
      </c>
      <c r="G27" s="22">
        <f t="shared" si="2"/>
        <v>0</v>
      </c>
      <c r="H27" s="22">
        <f t="shared" si="2"/>
        <v>0</v>
      </c>
      <c r="I27" s="22">
        <f t="shared" si="2"/>
        <v>2584</v>
      </c>
      <c r="J27" s="7">
        <f t="shared" si="1"/>
        <v>0.2581470159243941</v>
      </c>
      <c r="K27" s="23"/>
      <c r="L27" s="9"/>
    </row>
    <row r="28" spans="1:12" ht="15">
      <c r="A28" s="20"/>
      <c r="B28" s="20"/>
      <c r="C28" s="20"/>
      <c r="D28" s="21"/>
      <c r="E28" s="20" t="s">
        <v>29</v>
      </c>
      <c r="F28" s="22">
        <f t="shared" si="2"/>
        <v>2859</v>
      </c>
      <c r="G28" s="22">
        <f t="shared" si="2"/>
        <v>0</v>
      </c>
      <c r="H28" s="22">
        <f t="shared" si="2"/>
        <v>0</v>
      </c>
      <c r="I28" s="22">
        <f t="shared" si="2"/>
        <v>2859</v>
      </c>
      <c r="J28" s="7">
        <f t="shared" si="1"/>
        <v>0.28562009230953667</v>
      </c>
      <c r="K28" s="23"/>
      <c r="L28" s="9"/>
    </row>
    <row r="29" spans="1:8" ht="15">
      <c r="A29" s="1"/>
      <c r="B29" s="1"/>
      <c r="C29" s="1"/>
      <c r="D29" s="1"/>
      <c r="E29" s="1"/>
      <c r="F29" s="19"/>
      <c r="G29" s="24"/>
      <c r="H29" s="25"/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J5:J6"/>
    <mergeCell ref="A22:A24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9" sqref="F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0" t="s">
        <v>40</v>
      </c>
    </row>
    <row r="4" spans="1:10" ht="15">
      <c r="A4" s="52" t="s">
        <v>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68.25" customHeight="1">
      <c r="A5" s="46" t="s">
        <v>0</v>
      </c>
      <c r="B5" s="48" t="s">
        <v>1</v>
      </c>
      <c r="C5" s="46" t="s">
        <v>2</v>
      </c>
      <c r="D5" s="55" t="s">
        <v>5</v>
      </c>
      <c r="E5" s="56"/>
      <c r="F5" s="46" t="s">
        <v>32</v>
      </c>
      <c r="G5" s="46" t="s">
        <v>31</v>
      </c>
      <c r="H5" s="46" t="s">
        <v>30</v>
      </c>
      <c r="I5" s="46" t="s">
        <v>3</v>
      </c>
      <c r="J5" s="48" t="s">
        <v>4</v>
      </c>
    </row>
    <row r="6" spans="1:10" ht="37.5" customHeight="1">
      <c r="A6" s="47"/>
      <c r="B6" s="49"/>
      <c r="C6" s="47"/>
      <c r="D6" s="11" t="s">
        <v>9</v>
      </c>
      <c r="E6" s="4" t="s">
        <v>10</v>
      </c>
      <c r="F6" s="47"/>
      <c r="G6" s="47"/>
      <c r="H6" s="47"/>
      <c r="I6" s="47"/>
      <c r="J6" s="49"/>
    </row>
    <row r="7" spans="1:12" ht="15">
      <c r="A7" s="28">
        <v>1</v>
      </c>
      <c r="B7" s="29" t="s">
        <v>41</v>
      </c>
      <c r="C7" s="28"/>
      <c r="D7" s="30"/>
      <c r="E7" s="31"/>
      <c r="F7" s="28">
        <f>84.49+0.75</f>
        <v>85.24</v>
      </c>
      <c r="G7" s="32">
        <f>1128.08*0.1917/4.01</f>
        <v>53.92841296758105</v>
      </c>
      <c r="H7" s="28">
        <v>0.75</v>
      </c>
      <c r="I7" s="6">
        <f aca="true" t="shared" si="0" ref="I7:I26">F7-G7-H7</f>
        <v>30.56158703241894</v>
      </c>
      <c r="J7" s="7">
        <f aca="true" t="shared" si="1" ref="J7:J29">I7/10009.8</f>
        <v>0.00305316659997392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1189.25+10.15</f>
        <v>1199.4</v>
      </c>
      <c r="G8" s="6">
        <f>818.04+296.95+13.09</f>
        <v>1128.08</v>
      </c>
      <c r="H8" s="6">
        <f>10.15</f>
        <v>10.15</v>
      </c>
      <c r="I8" s="6">
        <f t="shared" si="0"/>
        <v>61.170000000000165</v>
      </c>
      <c r="J8" s="7">
        <f t="shared" si="1"/>
        <v>0.006111011209015182</v>
      </c>
      <c r="L8" s="9"/>
    </row>
    <row r="9" spans="1:12" ht="15">
      <c r="A9" s="2">
        <v>3</v>
      </c>
      <c r="B9" s="3" t="s">
        <v>37</v>
      </c>
      <c r="C9" s="6" t="s">
        <v>42</v>
      </c>
      <c r="D9" s="5"/>
      <c r="E9" s="5"/>
      <c r="F9" s="6">
        <v>1415</v>
      </c>
      <c r="G9" s="6">
        <f>965.15+337.74+13.53</f>
        <v>1316.4199999999998</v>
      </c>
      <c r="H9" s="6">
        <v>20</v>
      </c>
      <c r="I9" s="6">
        <f t="shared" si="0"/>
        <v>78.58000000000015</v>
      </c>
      <c r="J9" s="7">
        <f t="shared" si="1"/>
        <v>0.00785030669943457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2614.4</v>
      </c>
      <c r="G10" s="6">
        <f>1709.98+606.7+26.55+59.16+42.11</f>
        <v>2444.5000000000005</v>
      </c>
      <c r="H10" s="6">
        <f>H8+H9</f>
        <v>30.15</v>
      </c>
      <c r="I10" s="6">
        <f t="shared" si="0"/>
        <v>139.74999999999963</v>
      </c>
      <c r="J10" s="7">
        <f t="shared" si="1"/>
        <v>0.013961317908449683</v>
      </c>
    </row>
    <row r="11" spans="1:10" ht="15">
      <c r="A11" s="50">
        <v>5</v>
      </c>
      <c r="B11" s="3" t="s">
        <v>16</v>
      </c>
      <c r="C11" s="6"/>
      <c r="D11" s="5">
        <v>39900</v>
      </c>
      <c r="E11" s="5">
        <v>40340</v>
      </c>
      <c r="F11" s="7">
        <f>(E11-D11)*1</f>
        <v>440</v>
      </c>
      <c r="G11" s="6">
        <v>0</v>
      </c>
      <c r="H11" s="6">
        <v>0</v>
      </c>
      <c r="I11" s="6">
        <f t="shared" si="0"/>
        <v>440</v>
      </c>
      <c r="J11" s="7">
        <f t="shared" si="1"/>
        <v>0.0439569222162281</v>
      </c>
    </row>
    <row r="12" spans="1:10" ht="15">
      <c r="A12" s="57"/>
      <c r="B12" s="3" t="s">
        <v>17</v>
      </c>
      <c r="C12" s="6"/>
      <c r="D12" s="5">
        <v>58510</v>
      </c>
      <c r="E12" s="5">
        <v>59090</v>
      </c>
      <c r="F12" s="7">
        <f>(E12-D12)*1</f>
        <v>580</v>
      </c>
      <c r="G12" s="6">
        <v>0</v>
      </c>
      <c r="H12" s="6">
        <v>0</v>
      </c>
      <c r="I12" s="6">
        <f t="shared" si="0"/>
        <v>580</v>
      </c>
      <c r="J12" s="7">
        <f t="shared" si="1"/>
        <v>0.057943215648664316</v>
      </c>
    </row>
    <row r="13" spans="1:10" ht="15">
      <c r="A13" s="57"/>
      <c r="B13" s="3" t="s">
        <v>18</v>
      </c>
      <c r="C13" s="6"/>
      <c r="D13" s="5">
        <v>52210</v>
      </c>
      <c r="E13" s="5">
        <v>52690</v>
      </c>
      <c r="F13" s="7">
        <f>(E13-D13)*1</f>
        <v>480</v>
      </c>
      <c r="G13" s="6">
        <v>0</v>
      </c>
      <c r="H13" s="6">
        <v>0</v>
      </c>
      <c r="I13" s="6">
        <f t="shared" si="0"/>
        <v>480</v>
      </c>
      <c r="J13" s="7">
        <f t="shared" si="1"/>
        <v>0.04795300605406702</v>
      </c>
    </row>
    <row r="14" spans="1:10" ht="15">
      <c r="A14" s="57"/>
      <c r="B14" s="3" t="s">
        <v>19</v>
      </c>
      <c r="C14" s="6"/>
      <c r="D14" s="5">
        <v>61210</v>
      </c>
      <c r="E14" s="5">
        <v>61790</v>
      </c>
      <c r="F14" s="7">
        <f>(E14-D14)*1</f>
        <v>580</v>
      </c>
      <c r="G14" s="6">
        <v>0</v>
      </c>
      <c r="H14" s="6">
        <v>0</v>
      </c>
      <c r="I14" s="6">
        <f t="shared" si="0"/>
        <v>580</v>
      </c>
      <c r="J14" s="7">
        <f t="shared" si="1"/>
        <v>0.057943215648664316</v>
      </c>
    </row>
    <row r="15" spans="1:10" ht="15">
      <c r="A15" s="57"/>
      <c r="B15" s="3" t="s">
        <v>20</v>
      </c>
      <c r="C15" s="6"/>
      <c r="D15" s="5">
        <v>4067</v>
      </c>
      <c r="E15" s="5">
        <v>4068</v>
      </c>
      <c r="F15" s="27">
        <f>(E15-D15)*10</f>
        <v>10</v>
      </c>
      <c r="G15" s="6">
        <v>0</v>
      </c>
      <c r="H15" s="6">
        <v>0</v>
      </c>
      <c r="I15" s="6">
        <f t="shared" si="0"/>
        <v>10</v>
      </c>
      <c r="J15" s="7">
        <f t="shared" si="1"/>
        <v>0.0009990209594597295</v>
      </c>
    </row>
    <row r="16" spans="1:10" ht="15">
      <c r="A16" s="57"/>
      <c r="B16" s="3" t="s">
        <v>21</v>
      </c>
      <c r="C16" s="6"/>
      <c r="D16" s="5">
        <v>2503</v>
      </c>
      <c r="E16" s="5">
        <v>2527</v>
      </c>
      <c r="F16" s="27">
        <f>(E16-D16)*10</f>
        <v>240</v>
      </c>
      <c r="G16" s="6">
        <v>0</v>
      </c>
      <c r="H16" s="6">
        <v>0</v>
      </c>
      <c r="I16" s="6">
        <f t="shared" si="0"/>
        <v>240</v>
      </c>
      <c r="J16" s="7">
        <f t="shared" si="1"/>
        <v>0.02397650302703351</v>
      </c>
    </row>
    <row r="17" spans="1:10" ht="15">
      <c r="A17" s="57"/>
      <c r="B17" s="3" t="s">
        <v>22</v>
      </c>
      <c r="C17" s="6"/>
      <c r="D17" s="5">
        <v>4375</v>
      </c>
      <c r="E17" s="5">
        <v>4376</v>
      </c>
      <c r="F17" s="27">
        <f>(E17-D17)*10</f>
        <v>10</v>
      </c>
      <c r="G17" s="6">
        <v>0</v>
      </c>
      <c r="H17" s="6">
        <v>0</v>
      </c>
      <c r="I17" s="6">
        <f t="shared" si="0"/>
        <v>10</v>
      </c>
      <c r="J17" s="7">
        <f t="shared" si="1"/>
        <v>0.0009990209594597295</v>
      </c>
    </row>
    <row r="18" spans="1:10" ht="15">
      <c r="A18" s="57"/>
      <c r="B18" s="3" t="s">
        <v>23</v>
      </c>
      <c r="C18" s="6"/>
      <c r="D18" s="5">
        <v>2536</v>
      </c>
      <c r="E18" s="5">
        <v>2558</v>
      </c>
      <c r="F18" s="27">
        <f>(E18-D18)*10</f>
        <v>220</v>
      </c>
      <c r="G18" s="6">
        <v>0</v>
      </c>
      <c r="H18" s="6">
        <v>0</v>
      </c>
      <c r="I18" s="6">
        <f t="shared" si="0"/>
        <v>220</v>
      </c>
      <c r="J18" s="7">
        <f t="shared" si="1"/>
        <v>0.02197846110811405</v>
      </c>
    </row>
    <row r="19" spans="1:10" ht="15">
      <c r="A19" s="57"/>
      <c r="B19" s="3" t="s">
        <v>24</v>
      </c>
      <c r="C19" s="6"/>
      <c r="D19" s="5">
        <v>3386</v>
      </c>
      <c r="E19" s="5">
        <v>3421</v>
      </c>
      <c r="F19" s="27">
        <f>(E19-D19)*15</f>
        <v>525</v>
      </c>
      <c r="G19" s="6">
        <v>0</v>
      </c>
      <c r="H19" s="6">
        <v>0</v>
      </c>
      <c r="I19" s="6">
        <f t="shared" si="0"/>
        <v>525</v>
      </c>
      <c r="J19" s="7">
        <f t="shared" si="1"/>
        <v>0.0524486003716358</v>
      </c>
    </row>
    <row r="20" spans="1:10" ht="15">
      <c r="A20" s="57"/>
      <c r="B20" s="3" t="s">
        <v>25</v>
      </c>
      <c r="C20" s="6"/>
      <c r="D20" s="5">
        <v>4071</v>
      </c>
      <c r="E20" s="5">
        <v>4112</v>
      </c>
      <c r="F20" s="27">
        <f>(E20-D20)*15</f>
        <v>615</v>
      </c>
      <c r="G20" s="6">
        <v>0</v>
      </c>
      <c r="H20" s="6">
        <v>0</v>
      </c>
      <c r="I20" s="6">
        <f t="shared" si="0"/>
        <v>615</v>
      </c>
      <c r="J20" s="7">
        <f t="shared" si="1"/>
        <v>0.06143978900677337</v>
      </c>
    </row>
    <row r="21" spans="1:10" ht="15">
      <c r="A21" s="57"/>
      <c r="B21" s="3" t="s">
        <v>26</v>
      </c>
      <c r="C21" s="6"/>
      <c r="D21" s="5">
        <v>1980</v>
      </c>
      <c r="E21" s="5">
        <v>1994</v>
      </c>
      <c r="F21" s="27">
        <f>(E21-D21)*15</f>
        <v>210</v>
      </c>
      <c r="G21" s="6">
        <v>0</v>
      </c>
      <c r="H21" s="6">
        <v>0</v>
      </c>
      <c r="I21" s="6">
        <f t="shared" si="0"/>
        <v>210</v>
      </c>
      <c r="J21" s="7">
        <f t="shared" si="1"/>
        <v>0.02097944014865432</v>
      </c>
    </row>
    <row r="22" spans="1:10" ht="15">
      <c r="A22" s="57"/>
      <c r="B22" s="3" t="s">
        <v>27</v>
      </c>
      <c r="C22" s="6"/>
      <c r="D22" s="5">
        <v>2652.2</v>
      </c>
      <c r="E22" s="5">
        <v>2652.2</v>
      </c>
      <c r="F22" s="27">
        <f>(E22-D22)*15</f>
        <v>0</v>
      </c>
      <c r="G22" s="6">
        <v>0</v>
      </c>
      <c r="H22" s="6">
        <v>0</v>
      </c>
      <c r="I22" s="6">
        <f t="shared" si="0"/>
        <v>0</v>
      </c>
      <c r="J22" s="7">
        <f t="shared" si="1"/>
        <v>0</v>
      </c>
    </row>
    <row r="23" spans="1:10" ht="15">
      <c r="A23" s="57"/>
      <c r="B23" s="3" t="s">
        <v>12</v>
      </c>
      <c r="C23" s="6"/>
      <c r="D23" s="5">
        <v>78160</v>
      </c>
      <c r="E23" s="5">
        <v>78870</v>
      </c>
      <c r="F23" s="27">
        <f>(E23-D23)*1</f>
        <v>710</v>
      </c>
      <c r="G23" s="6">
        <v>0</v>
      </c>
      <c r="H23" s="6">
        <v>0</v>
      </c>
      <c r="I23" s="6">
        <f t="shared" si="0"/>
        <v>710</v>
      </c>
      <c r="J23" s="7">
        <f t="shared" si="1"/>
        <v>0.0709304881216408</v>
      </c>
    </row>
    <row r="24" spans="1:10" ht="15">
      <c r="A24" s="57"/>
      <c r="B24" s="3" t="s">
        <v>13</v>
      </c>
      <c r="C24" s="6"/>
      <c r="D24" s="5">
        <v>87330</v>
      </c>
      <c r="E24" s="5">
        <v>88130</v>
      </c>
      <c r="F24" s="27">
        <f>(E24-D24)*1</f>
        <v>800</v>
      </c>
      <c r="G24" s="6">
        <v>0</v>
      </c>
      <c r="H24" s="6">
        <v>0</v>
      </c>
      <c r="I24" s="6">
        <f t="shared" si="0"/>
        <v>800</v>
      </c>
      <c r="J24" s="7">
        <f t="shared" si="1"/>
        <v>0.07992167675677836</v>
      </c>
    </row>
    <row r="25" spans="1:10" ht="15">
      <c r="A25" s="57"/>
      <c r="B25" s="3" t="s">
        <v>15</v>
      </c>
      <c r="C25" s="6"/>
      <c r="D25" s="12">
        <v>9234</v>
      </c>
      <c r="E25" s="12">
        <v>9302</v>
      </c>
      <c r="F25" s="7">
        <f>(E25-D25)*10</f>
        <v>680</v>
      </c>
      <c r="G25" s="6">
        <v>0</v>
      </c>
      <c r="H25" s="6">
        <v>0</v>
      </c>
      <c r="I25" s="6">
        <f t="shared" si="0"/>
        <v>680</v>
      </c>
      <c r="J25" s="7">
        <f t="shared" si="1"/>
        <v>0.06793342524326161</v>
      </c>
    </row>
    <row r="26" spans="1:10" ht="15">
      <c r="A26" s="57"/>
      <c r="B26" s="3" t="s">
        <v>14</v>
      </c>
      <c r="C26" s="14"/>
      <c r="D26" s="5">
        <v>9175</v>
      </c>
      <c r="E26" s="26">
        <v>9241</v>
      </c>
      <c r="F26" s="7">
        <f>(E26-D26)*10</f>
        <v>660</v>
      </c>
      <c r="G26" s="6">
        <v>0</v>
      </c>
      <c r="H26" s="14">
        <v>0</v>
      </c>
      <c r="I26" s="6">
        <f t="shared" si="0"/>
        <v>660</v>
      </c>
      <c r="J26" s="7">
        <f t="shared" si="1"/>
        <v>0.06593538332434215</v>
      </c>
    </row>
    <row r="27" spans="1:12" ht="15">
      <c r="A27" s="58"/>
      <c r="B27" s="15" t="s">
        <v>11</v>
      </c>
      <c r="C27" s="15"/>
      <c r="D27" s="8"/>
      <c r="E27" s="15"/>
      <c r="F27" s="16">
        <f>SUM(F11:F26)</f>
        <v>6760</v>
      </c>
      <c r="G27" s="16">
        <f>SUM(G11:G26)</f>
        <v>0</v>
      </c>
      <c r="H27" s="16">
        <f>SUM(H11:H26)</f>
        <v>0</v>
      </c>
      <c r="I27" s="16">
        <f>SUM(I11:I26)</f>
        <v>6760</v>
      </c>
      <c r="J27" s="7">
        <f t="shared" si="1"/>
        <v>0.6753381685947771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2" ref="F28:I29">F11+F13+F15+F17+F19+F21+F23+F25</f>
        <v>3065</v>
      </c>
      <c r="G28" s="22">
        <f t="shared" si="2"/>
        <v>0</v>
      </c>
      <c r="H28" s="22">
        <f t="shared" si="2"/>
        <v>0</v>
      </c>
      <c r="I28" s="22">
        <f t="shared" si="2"/>
        <v>3065</v>
      </c>
      <c r="J28" s="7">
        <f t="shared" si="1"/>
        <v>0.3061999240744071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2"/>
        <v>3695</v>
      </c>
      <c r="G29" s="22">
        <f t="shared" si="2"/>
        <v>0</v>
      </c>
      <c r="H29" s="22">
        <f t="shared" si="2"/>
        <v>0</v>
      </c>
      <c r="I29" s="22">
        <f t="shared" si="2"/>
        <v>3695</v>
      </c>
      <c r="J29" s="7">
        <f t="shared" si="1"/>
        <v>0.3691382445203701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43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50.68+0.45</f>
        <v>51.13</v>
      </c>
      <c r="G7" s="40">
        <f>1183.12*0.0478</f>
        <v>56.553135999999995</v>
      </c>
      <c r="H7" s="36">
        <v>0.45</v>
      </c>
      <c r="I7" s="6">
        <f aca="true" t="shared" si="0" ref="I7:I26">F7-G7-H7</f>
        <v>-5.873135999999993</v>
      </c>
      <c r="J7" s="7">
        <f aca="true" t="shared" si="1" ref="J7:J29">I7/10009.8</f>
        <v>-0.0005867385961757471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994.16+7.44</f>
        <v>1001.6</v>
      </c>
      <c r="G8" s="41">
        <f>814.03+343.61+25.48</f>
        <v>1183.12</v>
      </c>
      <c r="H8" s="6">
        <f>7.44</f>
        <v>7.44</v>
      </c>
      <c r="I8" s="6">
        <f t="shared" si="0"/>
        <v>-188.95999999999987</v>
      </c>
      <c r="J8" s="7">
        <f t="shared" si="1"/>
        <v>-0.018877500049951035</v>
      </c>
      <c r="L8" s="9"/>
    </row>
    <row r="9" spans="1:12" ht="15">
      <c r="A9" s="2">
        <v>3</v>
      </c>
      <c r="B9" s="3" t="s">
        <v>37</v>
      </c>
      <c r="C9" s="6" t="s">
        <v>44</v>
      </c>
      <c r="D9" s="5"/>
      <c r="E9" s="5"/>
      <c r="F9" s="6">
        <f>1262+16</f>
        <v>1278</v>
      </c>
      <c r="G9" s="6">
        <f>979.7+418.07+37.92</f>
        <v>1435.69</v>
      </c>
      <c r="H9" s="6">
        <f>18</f>
        <v>18</v>
      </c>
      <c r="I9" s="6">
        <f t="shared" si="0"/>
        <v>-175.69000000000005</v>
      </c>
      <c r="J9" s="7">
        <f t="shared" si="1"/>
        <v>-0.017551799236747993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2279.6</v>
      </c>
      <c r="G10" s="6">
        <f>1727.7+715.29+57.73+56.07+62.02</f>
        <v>2618.81</v>
      </c>
      <c r="H10" s="6">
        <f>H8+H9</f>
        <v>25.44</v>
      </c>
      <c r="I10" s="6">
        <f t="shared" si="0"/>
        <v>-364.65000000000003</v>
      </c>
      <c r="J10" s="7">
        <f t="shared" si="1"/>
        <v>-0.03642929928669904</v>
      </c>
    </row>
    <row r="11" spans="1:10" ht="15">
      <c r="A11" s="50">
        <v>5</v>
      </c>
      <c r="B11" s="3" t="s">
        <v>16</v>
      </c>
      <c r="C11" s="6"/>
      <c r="D11" s="5">
        <v>40340</v>
      </c>
      <c r="E11" s="5">
        <v>40570</v>
      </c>
      <c r="F11" s="7">
        <f>(E11-D11)*1</f>
        <v>230</v>
      </c>
      <c r="G11" s="6">
        <v>0</v>
      </c>
      <c r="H11" s="6">
        <v>0</v>
      </c>
      <c r="I11" s="6">
        <f t="shared" si="0"/>
        <v>230</v>
      </c>
      <c r="J11" s="7">
        <f t="shared" si="1"/>
        <v>0.02297748206757378</v>
      </c>
    </row>
    <row r="12" spans="1:10" ht="15">
      <c r="A12" s="57"/>
      <c r="B12" s="3" t="s">
        <v>17</v>
      </c>
      <c r="C12" s="6"/>
      <c r="D12" s="5">
        <v>59090</v>
      </c>
      <c r="E12" s="5">
        <v>59570</v>
      </c>
      <c r="F12" s="7">
        <f>(E12-D12)*1</f>
        <v>480</v>
      </c>
      <c r="G12" s="6">
        <v>0</v>
      </c>
      <c r="H12" s="6">
        <v>0</v>
      </c>
      <c r="I12" s="6">
        <f t="shared" si="0"/>
        <v>480</v>
      </c>
      <c r="J12" s="7">
        <f t="shared" si="1"/>
        <v>0.04795300605406702</v>
      </c>
    </row>
    <row r="13" spans="1:10" ht="15">
      <c r="A13" s="57"/>
      <c r="B13" s="3" t="s">
        <v>18</v>
      </c>
      <c r="C13" s="6"/>
      <c r="D13" s="5">
        <v>52690</v>
      </c>
      <c r="E13" s="5">
        <v>53110</v>
      </c>
      <c r="F13" s="7">
        <f>(E13-D13)*1</f>
        <v>420</v>
      </c>
      <c r="G13" s="6">
        <v>0</v>
      </c>
      <c r="H13" s="6">
        <v>0</v>
      </c>
      <c r="I13" s="6">
        <f t="shared" si="0"/>
        <v>420</v>
      </c>
      <c r="J13" s="7">
        <f t="shared" si="1"/>
        <v>0.04195888029730864</v>
      </c>
    </row>
    <row r="14" spans="1:10" ht="15">
      <c r="A14" s="57"/>
      <c r="B14" s="3" t="s">
        <v>19</v>
      </c>
      <c r="C14" s="6"/>
      <c r="D14" s="5">
        <v>61790</v>
      </c>
      <c r="E14" s="5">
        <v>62320</v>
      </c>
      <c r="F14" s="7">
        <f>(E14-D14)*1</f>
        <v>530</v>
      </c>
      <c r="G14" s="6">
        <v>0</v>
      </c>
      <c r="H14" s="6">
        <v>0</v>
      </c>
      <c r="I14" s="6">
        <f t="shared" si="0"/>
        <v>530</v>
      </c>
      <c r="J14" s="7">
        <f t="shared" si="1"/>
        <v>0.052948110851365665</v>
      </c>
    </row>
    <row r="15" spans="1:10" ht="15">
      <c r="A15" s="57"/>
      <c r="B15" s="3" t="s">
        <v>20</v>
      </c>
      <c r="C15" s="6"/>
      <c r="D15" s="5">
        <v>4068</v>
      </c>
      <c r="E15" s="5">
        <v>4069</v>
      </c>
      <c r="F15" s="42">
        <f>(E15-D15)*10</f>
        <v>10</v>
      </c>
      <c r="G15" s="6">
        <v>0</v>
      </c>
      <c r="H15" s="6">
        <v>0</v>
      </c>
      <c r="I15" s="6">
        <f t="shared" si="0"/>
        <v>10</v>
      </c>
      <c r="J15" s="7">
        <f t="shared" si="1"/>
        <v>0.0009990209594597295</v>
      </c>
    </row>
    <row r="16" spans="1:10" ht="15">
      <c r="A16" s="57"/>
      <c r="B16" s="3" t="s">
        <v>21</v>
      </c>
      <c r="C16" s="6"/>
      <c r="D16" s="5">
        <v>2527</v>
      </c>
      <c r="E16" s="5">
        <v>2553</v>
      </c>
      <c r="F16" s="42">
        <f>(E16-D16)*10</f>
        <v>260</v>
      </c>
      <c r="G16" s="6">
        <v>0</v>
      </c>
      <c r="H16" s="6">
        <v>0</v>
      </c>
      <c r="I16" s="6">
        <f t="shared" si="0"/>
        <v>260</v>
      </c>
      <c r="J16" s="7">
        <f t="shared" si="1"/>
        <v>0.025974544945952967</v>
      </c>
    </row>
    <row r="17" spans="1:10" ht="15">
      <c r="A17" s="57"/>
      <c r="B17" s="3" t="s">
        <v>22</v>
      </c>
      <c r="C17" s="6"/>
      <c r="D17" s="5">
        <v>4376</v>
      </c>
      <c r="E17" s="5">
        <v>4377</v>
      </c>
      <c r="F17" s="42">
        <f>(E17-D17)*10</f>
        <v>10</v>
      </c>
      <c r="G17" s="6">
        <v>0</v>
      </c>
      <c r="H17" s="6">
        <v>0</v>
      </c>
      <c r="I17" s="6">
        <f t="shared" si="0"/>
        <v>10</v>
      </c>
      <c r="J17" s="7">
        <f t="shared" si="1"/>
        <v>0.0009990209594597295</v>
      </c>
    </row>
    <row r="18" spans="1:10" ht="15">
      <c r="A18" s="57"/>
      <c r="B18" s="3" t="s">
        <v>23</v>
      </c>
      <c r="C18" s="6"/>
      <c r="D18" s="5">
        <v>2558</v>
      </c>
      <c r="E18" s="5">
        <v>2581</v>
      </c>
      <c r="F18" s="42">
        <f>(E18-D18)*10</f>
        <v>230</v>
      </c>
      <c r="G18" s="6">
        <v>0</v>
      </c>
      <c r="H18" s="6">
        <v>0</v>
      </c>
      <c r="I18" s="6">
        <f t="shared" si="0"/>
        <v>230</v>
      </c>
      <c r="J18" s="7">
        <f t="shared" si="1"/>
        <v>0.02297748206757378</v>
      </c>
    </row>
    <row r="19" spans="1:10" ht="15">
      <c r="A19" s="57"/>
      <c r="B19" s="3" t="s">
        <v>24</v>
      </c>
      <c r="C19" s="6"/>
      <c r="D19" s="5">
        <v>3421</v>
      </c>
      <c r="E19" s="5">
        <v>3449</v>
      </c>
      <c r="F19" s="42">
        <f>(E19-D19)*15</f>
        <v>420</v>
      </c>
      <c r="G19" s="6">
        <v>0</v>
      </c>
      <c r="H19" s="6">
        <v>0</v>
      </c>
      <c r="I19" s="6">
        <f t="shared" si="0"/>
        <v>420</v>
      </c>
      <c r="J19" s="7">
        <f t="shared" si="1"/>
        <v>0.04195888029730864</v>
      </c>
    </row>
    <row r="20" spans="1:10" ht="15">
      <c r="A20" s="57"/>
      <c r="B20" s="3" t="s">
        <v>25</v>
      </c>
      <c r="C20" s="6"/>
      <c r="D20" s="5">
        <v>4112</v>
      </c>
      <c r="E20" s="5">
        <v>4147</v>
      </c>
      <c r="F20" s="42">
        <f>(E20-D20)*15</f>
        <v>525</v>
      </c>
      <c r="G20" s="6">
        <v>0</v>
      </c>
      <c r="H20" s="6">
        <v>0</v>
      </c>
      <c r="I20" s="6">
        <f t="shared" si="0"/>
        <v>525</v>
      </c>
      <c r="J20" s="7">
        <f t="shared" si="1"/>
        <v>0.0524486003716358</v>
      </c>
    </row>
    <row r="21" spans="1:10" ht="15">
      <c r="A21" s="57"/>
      <c r="B21" s="3" t="s">
        <v>26</v>
      </c>
      <c r="C21" s="6"/>
      <c r="D21" s="5">
        <v>1994</v>
      </c>
      <c r="E21" s="5">
        <v>2011</v>
      </c>
      <c r="F21" s="42">
        <f>(E21-D21)*15</f>
        <v>255</v>
      </c>
      <c r="G21" s="6">
        <v>0</v>
      </c>
      <c r="H21" s="6">
        <v>0</v>
      </c>
      <c r="I21" s="6">
        <f t="shared" si="0"/>
        <v>255</v>
      </c>
      <c r="J21" s="7">
        <f t="shared" si="1"/>
        <v>0.025475034466223102</v>
      </c>
    </row>
    <row r="22" spans="1:10" ht="15">
      <c r="A22" s="57"/>
      <c r="B22" s="3" t="s">
        <v>27</v>
      </c>
      <c r="C22" s="6"/>
      <c r="D22" s="5">
        <v>2652.2</v>
      </c>
      <c r="E22" s="5">
        <v>2652.2</v>
      </c>
      <c r="F22" s="42">
        <f>(E22-D22)*15</f>
        <v>0</v>
      </c>
      <c r="G22" s="6">
        <v>0</v>
      </c>
      <c r="H22" s="6">
        <v>0</v>
      </c>
      <c r="I22" s="6">
        <f t="shared" si="0"/>
        <v>0</v>
      </c>
      <c r="J22" s="7">
        <f t="shared" si="1"/>
        <v>0</v>
      </c>
    </row>
    <row r="23" spans="1:10" ht="15">
      <c r="A23" s="57"/>
      <c r="B23" s="3" t="s">
        <v>12</v>
      </c>
      <c r="C23" s="6"/>
      <c r="D23" s="5">
        <v>78870</v>
      </c>
      <c r="E23" s="5">
        <v>79340</v>
      </c>
      <c r="F23" s="42">
        <f>(E23-D23)*1</f>
        <v>470</v>
      </c>
      <c r="G23" s="6">
        <v>0</v>
      </c>
      <c r="H23" s="6">
        <v>0</v>
      </c>
      <c r="I23" s="6">
        <f t="shared" si="0"/>
        <v>470</v>
      </c>
      <c r="J23" s="7">
        <f t="shared" si="1"/>
        <v>0.04695398509460729</v>
      </c>
    </row>
    <row r="24" spans="1:10" ht="15">
      <c r="A24" s="57"/>
      <c r="B24" s="3" t="s">
        <v>13</v>
      </c>
      <c r="C24" s="6"/>
      <c r="D24" s="5">
        <v>88130</v>
      </c>
      <c r="E24" s="5">
        <v>88770</v>
      </c>
      <c r="F24" s="42">
        <f>(E24-D24)*1</f>
        <v>640</v>
      </c>
      <c r="G24" s="6">
        <v>0</v>
      </c>
      <c r="H24" s="6">
        <v>0</v>
      </c>
      <c r="I24" s="6">
        <f t="shared" si="0"/>
        <v>640</v>
      </c>
      <c r="J24" s="7">
        <f t="shared" si="1"/>
        <v>0.06393734140542269</v>
      </c>
    </row>
    <row r="25" spans="1:10" ht="15">
      <c r="A25" s="57"/>
      <c r="B25" s="3" t="s">
        <v>15</v>
      </c>
      <c r="C25" s="6"/>
      <c r="D25" s="12">
        <v>9302</v>
      </c>
      <c r="E25" s="12">
        <v>9362</v>
      </c>
      <c r="F25" s="7">
        <f>(E25-D25)*10</f>
        <v>600</v>
      </c>
      <c r="G25" s="6">
        <v>0</v>
      </c>
      <c r="H25" s="6">
        <v>0</v>
      </c>
      <c r="I25" s="6">
        <f t="shared" si="0"/>
        <v>600</v>
      </c>
      <c r="J25" s="7">
        <f t="shared" si="1"/>
        <v>0.05994125756758377</v>
      </c>
    </row>
    <row r="26" spans="1:10" ht="15">
      <c r="A26" s="57"/>
      <c r="B26" s="3" t="s">
        <v>14</v>
      </c>
      <c r="C26" s="6"/>
      <c r="D26" s="5">
        <v>9241</v>
      </c>
      <c r="E26" s="5">
        <v>9305</v>
      </c>
      <c r="F26" s="7">
        <f>(E26-D26)*10</f>
        <v>640</v>
      </c>
      <c r="G26" s="6">
        <v>0</v>
      </c>
      <c r="H26" s="6">
        <v>0</v>
      </c>
      <c r="I26" s="6">
        <f t="shared" si="0"/>
        <v>640</v>
      </c>
      <c r="J26" s="7">
        <f t="shared" si="1"/>
        <v>0.06393734140542269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5720</v>
      </c>
      <c r="G27" s="44">
        <f>SUM(G11:G26)</f>
        <v>0</v>
      </c>
      <c r="H27" s="44">
        <f>SUM(H11:H26)</f>
        <v>0</v>
      </c>
      <c r="I27" s="44">
        <f>SUM(I11:I26)</f>
        <v>5720</v>
      </c>
      <c r="J27" s="7">
        <f t="shared" si="1"/>
        <v>0.5714399888109652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2" ref="F28:I29">F11+F13+F15+F17+F19+F21+F23+F25</f>
        <v>2415</v>
      </c>
      <c r="G28" s="22">
        <f t="shared" si="2"/>
        <v>0</v>
      </c>
      <c r="H28" s="22">
        <f t="shared" si="2"/>
        <v>0</v>
      </c>
      <c r="I28" s="22">
        <f t="shared" si="2"/>
        <v>2415</v>
      </c>
      <c r="J28" s="7">
        <f t="shared" si="1"/>
        <v>0.24126356170952468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2"/>
        <v>3305</v>
      </c>
      <c r="G29" s="22">
        <f t="shared" si="2"/>
        <v>0</v>
      </c>
      <c r="H29" s="22">
        <f t="shared" si="2"/>
        <v>0</v>
      </c>
      <c r="I29" s="22">
        <f t="shared" si="2"/>
        <v>3305</v>
      </c>
      <c r="J29" s="7">
        <f t="shared" si="1"/>
        <v>0.33017642710144063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H5:H6"/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8" sqref="G1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45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64.43+0.65</f>
        <v>65.08000000000001</v>
      </c>
      <c r="G7" s="40">
        <f>G8*0.0478</f>
        <v>51.857263999999994</v>
      </c>
      <c r="H7" s="36">
        <f>0.65</f>
        <v>0.65</v>
      </c>
      <c r="I7" s="6">
        <f>I8*0.0478</f>
        <v>1.85807682</v>
      </c>
      <c r="J7" s="7">
        <f aca="true" t="shared" si="0" ref="J7:J29">I7/10009.8</f>
        <v>0.0001856257687466283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1351.79+14.4</f>
        <v>1366.19</v>
      </c>
      <c r="G8" s="6">
        <f>802+212.64+70.24</f>
        <v>1084.8799999999999</v>
      </c>
      <c r="H8" s="6">
        <f>14.4</f>
        <v>14.4</v>
      </c>
      <c r="I8" s="6">
        <v>38.8719</v>
      </c>
      <c r="J8" s="7">
        <f t="shared" si="0"/>
        <v>0.0038833842834022658</v>
      </c>
      <c r="L8" s="9"/>
    </row>
    <row r="9" spans="1:12" ht="15">
      <c r="A9" s="2">
        <v>3</v>
      </c>
      <c r="B9" s="3" t="s">
        <v>37</v>
      </c>
      <c r="C9" s="6" t="s">
        <v>46</v>
      </c>
      <c r="D9" s="5"/>
      <c r="E9" s="5"/>
      <c r="F9" s="6">
        <f>1344</f>
        <v>1344</v>
      </c>
      <c r="G9" s="6">
        <f>965.15+378.92+77.98</f>
        <v>1422.05</v>
      </c>
      <c r="H9" s="6">
        <v>17</v>
      </c>
      <c r="I9" s="6">
        <f aca="true" t="shared" si="1" ref="I9:I26">F9-G9-H9</f>
        <v>-95.04999999999995</v>
      </c>
      <c r="J9" s="7">
        <f t="shared" si="0"/>
        <v>-0.009495694219664725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2710.19</v>
      </c>
      <c r="G10" s="6">
        <f>1701.12+636.07+67.74+39.98+62.02</f>
        <v>2506.93</v>
      </c>
      <c r="H10" s="6">
        <f>H8+H9</f>
        <v>31.4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40570</v>
      </c>
      <c r="E11" s="5">
        <v>40790</v>
      </c>
      <c r="F11" s="7">
        <f aca="true" t="shared" si="2" ref="F11:F18">(E11-D11)*1</f>
        <v>220</v>
      </c>
      <c r="G11" s="6">
        <v>0</v>
      </c>
      <c r="H11" s="6">
        <v>0</v>
      </c>
      <c r="I11" s="6">
        <f t="shared" si="1"/>
        <v>220</v>
      </c>
      <c r="J11" s="7">
        <f t="shared" si="0"/>
        <v>0.02197846110811405</v>
      </c>
    </row>
    <row r="12" spans="1:10" ht="15">
      <c r="A12" s="57"/>
      <c r="B12" s="3" t="s">
        <v>17</v>
      </c>
      <c r="C12" s="6"/>
      <c r="D12" s="5">
        <v>59570</v>
      </c>
      <c r="E12" s="5">
        <v>59970</v>
      </c>
      <c r="F12" s="7">
        <f t="shared" si="2"/>
        <v>400</v>
      </c>
      <c r="G12" s="6">
        <v>0</v>
      </c>
      <c r="H12" s="6">
        <v>0</v>
      </c>
      <c r="I12" s="6">
        <f t="shared" si="1"/>
        <v>400</v>
      </c>
      <c r="J12" s="7">
        <f t="shared" si="0"/>
        <v>0.03996083837838918</v>
      </c>
    </row>
    <row r="13" spans="1:10" ht="15">
      <c r="A13" s="57"/>
      <c r="B13" s="3" t="s">
        <v>18</v>
      </c>
      <c r="C13" s="6"/>
      <c r="D13" s="5">
        <v>53110</v>
      </c>
      <c r="E13" s="5">
        <v>53380</v>
      </c>
      <c r="F13" s="7">
        <f t="shared" si="2"/>
        <v>270</v>
      </c>
      <c r="G13" s="6">
        <v>0</v>
      </c>
      <c r="H13" s="6">
        <v>0</v>
      </c>
      <c r="I13" s="6">
        <f t="shared" si="1"/>
        <v>270</v>
      </c>
      <c r="J13" s="7">
        <f t="shared" si="0"/>
        <v>0.026973565905412698</v>
      </c>
    </row>
    <row r="14" spans="1:10" ht="15">
      <c r="A14" s="57"/>
      <c r="B14" s="3" t="s">
        <v>19</v>
      </c>
      <c r="C14" s="6"/>
      <c r="D14" s="5">
        <v>62320</v>
      </c>
      <c r="E14" s="5">
        <v>62680</v>
      </c>
      <c r="F14" s="7">
        <f t="shared" si="2"/>
        <v>360</v>
      </c>
      <c r="G14" s="6">
        <v>0</v>
      </c>
      <c r="H14" s="6">
        <v>0</v>
      </c>
      <c r="I14" s="6">
        <f t="shared" si="1"/>
        <v>360</v>
      </c>
      <c r="J14" s="7">
        <f t="shared" si="0"/>
        <v>0.035964754540550266</v>
      </c>
    </row>
    <row r="15" spans="1:10" ht="15">
      <c r="A15" s="57"/>
      <c r="B15" s="3" t="s">
        <v>47</v>
      </c>
      <c r="C15" s="6"/>
      <c r="D15" s="5">
        <v>0</v>
      </c>
      <c r="E15" s="5">
        <v>126</v>
      </c>
      <c r="F15" s="42">
        <f t="shared" si="2"/>
        <v>126</v>
      </c>
      <c r="G15" s="6">
        <v>0</v>
      </c>
      <c r="H15" s="6">
        <v>0</v>
      </c>
      <c r="I15" s="6">
        <f t="shared" si="1"/>
        <v>126</v>
      </c>
      <c r="J15" s="7">
        <f t="shared" si="0"/>
        <v>0.012587664089192593</v>
      </c>
    </row>
    <row r="16" spans="1:10" ht="15">
      <c r="A16" s="57"/>
      <c r="B16" s="3" t="s">
        <v>48</v>
      </c>
      <c r="C16" s="6"/>
      <c r="D16" s="5">
        <v>0</v>
      </c>
      <c r="E16" s="5">
        <v>27</v>
      </c>
      <c r="F16" s="42">
        <f t="shared" si="2"/>
        <v>27</v>
      </c>
      <c r="G16" s="6">
        <v>0</v>
      </c>
      <c r="H16" s="6">
        <v>0</v>
      </c>
      <c r="I16" s="6">
        <f t="shared" si="1"/>
        <v>27</v>
      </c>
      <c r="J16" s="7">
        <f t="shared" si="0"/>
        <v>0.0026973565905412697</v>
      </c>
    </row>
    <row r="17" spans="1:10" ht="15">
      <c r="A17" s="57"/>
      <c r="B17" s="3" t="s">
        <v>49</v>
      </c>
      <c r="C17" s="6"/>
      <c r="D17" s="5">
        <v>0</v>
      </c>
      <c r="E17" s="5">
        <v>122</v>
      </c>
      <c r="F17" s="42">
        <f t="shared" si="2"/>
        <v>122</v>
      </c>
      <c r="G17" s="6">
        <v>0</v>
      </c>
      <c r="H17" s="6">
        <v>0</v>
      </c>
      <c r="I17" s="6">
        <f t="shared" si="1"/>
        <v>122</v>
      </c>
      <c r="J17" s="7">
        <f t="shared" si="0"/>
        <v>0.0121880557054087</v>
      </c>
    </row>
    <row r="18" spans="1:10" ht="15">
      <c r="A18" s="57"/>
      <c r="B18" s="3" t="s">
        <v>50</v>
      </c>
      <c r="C18" s="6"/>
      <c r="D18" s="5">
        <v>0</v>
      </c>
      <c r="E18" s="5">
        <v>25</v>
      </c>
      <c r="F18" s="42">
        <f t="shared" si="2"/>
        <v>25</v>
      </c>
      <c r="G18" s="6">
        <v>0</v>
      </c>
      <c r="H18" s="6">
        <v>0</v>
      </c>
      <c r="I18" s="6">
        <f t="shared" si="1"/>
        <v>25</v>
      </c>
      <c r="J18" s="7">
        <f t="shared" si="0"/>
        <v>0.0024975523986493237</v>
      </c>
    </row>
    <row r="19" spans="1:10" ht="15">
      <c r="A19" s="57"/>
      <c r="B19" s="3" t="s">
        <v>24</v>
      </c>
      <c r="C19" s="6"/>
      <c r="D19" s="5">
        <v>3449</v>
      </c>
      <c r="E19" s="5">
        <v>3476</v>
      </c>
      <c r="F19" s="42">
        <f>(E19-D19)*15</f>
        <v>405</v>
      </c>
      <c r="G19" s="6">
        <v>0</v>
      </c>
      <c r="H19" s="6">
        <v>0</v>
      </c>
      <c r="I19" s="6">
        <f t="shared" si="1"/>
        <v>405</v>
      </c>
      <c r="J19" s="7">
        <f t="shared" si="0"/>
        <v>0.04046034885811905</v>
      </c>
    </row>
    <row r="20" spans="1:10" ht="15">
      <c r="A20" s="57"/>
      <c r="B20" s="3" t="s">
        <v>25</v>
      </c>
      <c r="C20" s="6"/>
      <c r="D20" s="5">
        <v>4147</v>
      </c>
      <c r="E20" s="5">
        <v>4178</v>
      </c>
      <c r="F20" s="42">
        <f>(E20-D20)*15</f>
        <v>465</v>
      </c>
      <c r="G20" s="6">
        <v>0</v>
      </c>
      <c r="H20" s="6">
        <v>0</v>
      </c>
      <c r="I20" s="6">
        <f t="shared" si="1"/>
        <v>465</v>
      </c>
      <c r="J20" s="7">
        <f t="shared" si="0"/>
        <v>0.04645447461487742</v>
      </c>
    </row>
    <row r="21" spans="1:10" ht="15">
      <c r="A21" s="57"/>
      <c r="B21" s="3" t="s">
        <v>26</v>
      </c>
      <c r="C21" s="6"/>
      <c r="D21" s="5">
        <v>2011</v>
      </c>
      <c r="E21" s="5">
        <v>2024</v>
      </c>
      <c r="F21" s="42">
        <f>(E21-D21)*15</f>
        <v>195</v>
      </c>
      <c r="G21" s="6">
        <v>0</v>
      </c>
      <c r="H21" s="6">
        <v>0</v>
      </c>
      <c r="I21" s="6">
        <f t="shared" si="1"/>
        <v>195</v>
      </c>
      <c r="J21" s="7">
        <f t="shared" si="0"/>
        <v>0.019480908709464725</v>
      </c>
    </row>
    <row r="22" spans="1:10" ht="15">
      <c r="A22" s="57"/>
      <c r="B22" s="3" t="s">
        <v>27</v>
      </c>
      <c r="C22" s="6"/>
      <c r="D22" s="5">
        <v>2652.2</v>
      </c>
      <c r="E22" s="5">
        <v>2652.2</v>
      </c>
      <c r="F22" s="42">
        <f>(E22-D22)*15</f>
        <v>0</v>
      </c>
      <c r="G22" s="6">
        <v>0</v>
      </c>
      <c r="H22" s="6">
        <v>0</v>
      </c>
      <c r="I22" s="6">
        <f t="shared" si="1"/>
        <v>0</v>
      </c>
      <c r="J22" s="7">
        <f t="shared" si="0"/>
        <v>0</v>
      </c>
    </row>
    <row r="23" spans="1:10" ht="15">
      <c r="A23" s="57"/>
      <c r="B23" s="3" t="s">
        <v>12</v>
      </c>
      <c r="C23" s="6"/>
      <c r="D23" s="5">
        <v>79340</v>
      </c>
      <c r="E23" s="5">
        <v>79778</v>
      </c>
      <c r="F23" s="42">
        <f>(E23-D23)*1</f>
        <v>438</v>
      </c>
      <c r="G23" s="6">
        <v>0</v>
      </c>
      <c r="H23" s="6">
        <v>0</v>
      </c>
      <c r="I23" s="6">
        <f t="shared" si="1"/>
        <v>438</v>
      </c>
      <c r="J23" s="7">
        <f t="shared" si="0"/>
        <v>0.043757118024336156</v>
      </c>
    </row>
    <row r="24" spans="1:10" ht="15">
      <c r="A24" s="57"/>
      <c r="B24" s="3" t="s">
        <v>13</v>
      </c>
      <c r="C24" s="6"/>
      <c r="D24" s="5">
        <v>88770</v>
      </c>
      <c r="E24" s="5">
        <v>89274</v>
      </c>
      <c r="F24" s="42">
        <f>(E24-D24)*1</f>
        <v>504</v>
      </c>
      <c r="G24" s="6">
        <v>0</v>
      </c>
      <c r="H24" s="6">
        <v>0</v>
      </c>
      <c r="I24" s="6">
        <f t="shared" si="1"/>
        <v>504</v>
      </c>
      <c r="J24" s="7">
        <f t="shared" si="0"/>
        <v>0.05035065635677037</v>
      </c>
    </row>
    <row r="25" spans="1:10" ht="15">
      <c r="A25" s="57"/>
      <c r="B25" s="3" t="s">
        <v>15</v>
      </c>
      <c r="C25" s="6"/>
      <c r="D25" s="12">
        <v>9362</v>
      </c>
      <c r="E25" s="12">
        <v>9421</v>
      </c>
      <c r="F25" s="7">
        <f>(E25-D25)*10</f>
        <v>590</v>
      </c>
      <c r="G25" s="6">
        <v>0</v>
      </c>
      <c r="H25" s="6">
        <v>0</v>
      </c>
      <c r="I25" s="6">
        <f t="shared" si="1"/>
        <v>590</v>
      </c>
      <c r="J25" s="7">
        <f t="shared" si="0"/>
        <v>0.058942236608124046</v>
      </c>
    </row>
    <row r="26" spans="1:10" ht="15">
      <c r="A26" s="57"/>
      <c r="B26" s="3" t="s">
        <v>14</v>
      </c>
      <c r="C26" s="6"/>
      <c r="D26" s="5">
        <v>9305</v>
      </c>
      <c r="E26" s="5">
        <v>9360</v>
      </c>
      <c r="F26" s="7">
        <f>(E26-D26)*10</f>
        <v>550</v>
      </c>
      <c r="G26" s="6">
        <v>0</v>
      </c>
      <c r="H26" s="6">
        <v>0</v>
      </c>
      <c r="I26" s="6">
        <f t="shared" si="1"/>
        <v>550</v>
      </c>
      <c r="J26" s="7">
        <f t="shared" si="0"/>
        <v>0.054946152770285125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4697</v>
      </c>
      <c r="G27" s="44">
        <f>SUM(G11:G26)</f>
        <v>0</v>
      </c>
      <c r="H27" s="44">
        <f>SUM(H11:H26)</f>
        <v>0</v>
      </c>
      <c r="I27" s="44">
        <f>SUM(I11:I26)</f>
        <v>4697</v>
      </c>
      <c r="J27" s="7">
        <f t="shared" si="0"/>
        <v>0.46924014465823494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2366</v>
      </c>
      <c r="G28" s="22">
        <f t="shared" si="3"/>
        <v>0</v>
      </c>
      <c r="H28" s="22">
        <f t="shared" si="3"/>
        <v>0</v>
      </c>
      <c r="I28" s="22">
        <f t="shared" si="3"/>
        <v>2366</v>
      </c>
      <c r="J28" s="7">
        <f t="shared" si="0"/>
        <v>0.23636835900817202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2331</v>
      </c>
      <c r="G29" s="22">
        <f t="shared" si="3"/>
        <v>0</v>
      </c>
      <c r="H29" s="22">
        <f t="shared" si="3"/>
        <v>0</v>
      </c>
      <c r="I29" s="22">
        <f t="shared" si="3"/>
        <v>2331</v>
      </c>
      <c r="J29" s="7">
        <f t="shared" si="0"/>
        <v>0.23287178565006295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27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7" sqref="C1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51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24.11+0.22</f>
        <v>24.33</v>
      </c>
      <c r="G7" s="40">
        <f>G8*0.0478</f>
        <v>56.481435999999995</v>
      </c>
      <c r="H7" s="36">
        <f>0.22</f>
        <v>0.22</v>
      </c>
      <c r="I7" s="6">
        <f>F7-G7-H7</f>
        <v>-32.371435999999996</v>
      </c>
      <c r="J7" s="7">
        <f>I7/10009.5</f>
        <v>-0.0032340712323292867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634.12+5.18</f>
        <v>639.3</v>
      </c>
      <c r="G8" s="6">
        <f>802+307.81+71.81</f>
        <v>1181.62</v>
      </c>
      <c r="H8" s="6">
        <f>5.18</f>
        <v>5.18</v>
      </c>
      <c r="I8" s="6">
        <f>F8-G8-H8</f>
        <v>-547.4999999999999</v>
      </c>
      <c r="J8" s="7">
        <f aca="true" t="shared" si="0" ref="J8:J29">I8/10009.5</f>
        <v>-0.05469803686497826</v>
      </c>
      <c r="L8" s="9"/>
    </row>
    <row r="9" spans="1:12" ht="15">
      <c r="A9" s="2">
        <v>3</v>
      </c>
      <c r="B9" s="3" t="s">
        <v>37</v>
      </c>
      <c r="C9" s="6" t="s">
        <v>52</v>
      </c>
      <c r="D9" s="5"/>
      <c r="E9" s="5"/>
      <c r="F9" s="6">
        <f>213.833+1069.167</f>
        <v>1283</v>
      </c>
      <c r="G9" s="6">
        <f>974.85+340.65+24.41</f>
        <v>1339.91</v>
      </c>
      <c r="H9" s="6">
        <v>16</v>
      </c>
      <c r="I9" s="6">
        <f>F9-G9-H9</f>
        <v>-72.91000000000008</v>
      </c>
      <c r="J9" s="7">
        <f t="shared" si="0"/>
        <v>-0.00728408012388232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1922.3</v>
      </c>
      <c r="G10" s="6">
        <f>1701.12+705.81+34.82+49.82+29.96</f>
        <v>2521.53</v>
      </c>
      <c r="H10" s="6">
        <f>H8+H9</f>
        <v>21.18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40790</v>
      </c>
      <c r="E11" s="5">
        <v>41000</v>
      </c>
      <c r="F11" s="7">
        <f aca="true" t="shared" si="1" ref="F11:F18">(E11-D11)*1</f>
        <v>210</v>
      </c>
      <c r="G11" s="6">
        <v>0</v>
      </c>
      <c r="H11" s="6">
        <v>0</v>
      </c>
      <c r="I11" s="6">
        <f aca="true" t="shared" si="2" ref="I11:I26">F11-G11-H11</f>
        <v>210</v>
      </c>
      <c r="J11" s="7">
        <f t="shared" si="0"/>
        <v>0.02098006893451221</v>
      </c>
    </row>
    <row r="12" spans="1:10" ht="15">
      <c r="A12" s="57"/>
      <c r="B12" s="3" t="s">
        <v>17</v>
      </c>
      <c r="C12" s="6"/>
      <c r="D12" s="5">
        <v>59970</v>
      </c>
      <c r="E12" s="5">
        <v>60410</v>
      </c>
      <c r="F12" s="7">
        <f t="shared" si="1"/>
        <v>440</v>
      </c>
      <c r="G12" s="6">
        <v>0</v>
      </c>
      <c r="H12" s="6">
        <v>0</v>
      </c>
      <c r="I12" s="6">
        <f t="shared" si="2"/>
        <v>440</v>
      </c>
      <c r="J12" s="7">
        <f t="shared" si="0"/>
        <v>0.04395823967231131</v>
      </c>
    </row>
    <row r="13" spans="1:10" ht="15">
      <c r="A13" s="57"/>
      <c r="B13" s="3" t="s">
        <v>18</v>
      </c>
      <c r="C13" s="6"/>
      <c r="D13" s="5">
        <v>53380</v>
      </c>
      <c r="E13" s="5">
        <v>53650</v>
      </c>
      <c r="F13" s="7">
        <f t="shared" si="1"/>
        <v>270</v>
      </c>
      <c r="G13" s="6">
        <v>0</v>
      </c>
      <c r="H13" s="6">
        <v>0</v>
      </c>
      <c r="I13" s="6">
        <f t="shared" si="2"/>
        <v>270</v>
      </c>
      <c r="J13" s="7">
        <f t="shared" si="0"/>
        <v>0.026974374344372845</v>
      </c>
    </row>
    <row r="14" spans="1:10" ht="15">
      <c r="A14" s="57"/>
      <c r="B14" s="3" t="s">
        <v>19</v>
      </c>
      <c r="C14" s="6"/>
      <c r="D14" s="5">
        <v>62680</v>
      </c>
      <c r="E14" s="5">
        <v>63070</v>
      </c>
      <c r="F14" s="7">
        <f t="shared" si="1"/>
        <v>390</v>
      </c>
      <c r="G14" s="6">
        <v>0</v>
      </c>
      <c r="H14" s="6">
        <v>0</v>
      </c>
      <c r="I14" s="6">
        <f t="shared" si="2"/>
        <v>390</v>
      </c>
      <c r="J14" s="7">
        <f t="shared" si="0"/>
        <v>0.03896298516409411</v>
      </c>
    </row>
    <row r="15" spans="1:10" ht="15">
      <c r="A15" s="57"/>
      <c r="B15" s="3" t="s">
        <v>47</v>
      </c>
      <c r="C15" s="6"/>
      <c r="D15" s="5">
        <v>126</v>
      </c>
      <c r="E15" s="5">
        <v>626</v>
      </c>
      <c r="F15" s="42">
        <f t="shared" si="1"/>
        <v>500</v>
      </c>
      <c r="G15" s="6">
        <v>0</v>
      </c>
      <c r="H15" s="6">
        <v>0</v>
      </c>
      <c r="I15" s="6">
        <f t="shared" si="2"/>
        <v>500</v>
      </c>
      <c r="J15" s="7">
        <f t="shared" si="0"/>
        <v>0.04995254508217194</v>
      </c>
    </row>
    <row r="16" spans="1:10" ht="15">
      <c r="A16" s="57"/>
      <c r="B16" s="3" t="s">
        <v>48</v>
      </c>
      <c r="C16" s="6"/>
      <c r="D16" s="5">
        <v>27</v>
      </c>
      <c r="E16" s="5">
        <v>126</v>
      </c>
      <c r="F16" s="42">
        <f t="shared" si="1"/>
        <v>99</v>
      </c>
      <c r="G16" s="6">
        <v>0</v>
      </c>
      <c r="H16" s="6">
        <v>0</v>
      </c>
      <c r="I16" s="6">
        <f t="shared" si="2"/>
        <v>99</v>
      </c>
      <c r="J16" s="7">
        <f t="shared" si="0"/>
        <v>0.009890603926270043</v>
      </c>
    </row>
    <row r="17" spans="1:10" ht="15">
      <c r="A17" s="57"/>
      <c r="B17" s="3" t="s">
        <v>49</v>
      </c>
      <c r="C17" s="6"/>
      <c r="D17" s="5">
        <v>122</v>
      </c>
      <c r="E17" s="5">
        <v>660</v>
      </c>
      <c r="F17" s="42">
        <f t="shared" si="1"/>
        <v>538</v>
      </c>
      <c r="G17" s="6">
        <v>0</v>
      </c>
      <c r="H17" s="6">
        <v>0</v>
      </c>
      <c r="I17" s="6">
        <f t="shared" si="2"/>
        <v>538</v>
      </c>
      <c r="J17" s="7">
        <f t="shared" si="0"/>
        <v>0.053748938508417006</v>
      </c>
    </row>
    <row r="18" spans="1:10" ht="15">
      <c r="A18" s="57"/>
      <c r="B18" s="3" t="s">
        <v>50</v>
      </c>
      <c r="C18" s="6"/>
      <c r="D18" s="5">
        <v>25</v>
      </c>
      <c r="E18" s="5">
        <v>136</v>
      </c>
      <c r="F18" s="42">
        <f t="shared" si="1"/>
        <v>111</v>
      </c>
      <c r="G18" s="6">
        <v>0</v>
      </c>
      <c r="H18" s="6">
        <v>0</v>
      </c>
      <c r="I18" s="6">
        <f t="shared" si="2"/>
        <v>111</v>
      </c>
      <c r="J18" s="7">
        <f t="shared" si="0"/>
        <v>0.01108946500824217</v>
      </c>
    </row>
    <row r="19" spans="1:10" ht="15">
      <c r="A19" s="57"/>
      <c r="B19" s="3" t="s">
        <v>24</v>
      </c>
      <c r="C19" s="6"/>
      <c r="D19" s="5">
        <v>3476</v>
      </c>
      <c r="E19" s="5">
        <v>3502</v>
      </c>
      <c r="F19" s="42">
        <f>(E19-D19)*15</f>
        <v>390</v>
      </c>
      <c r="G19" s="6">
        <v>0</v>
      </c>
      <c r="H19" s="6">
        <v>0</v>
      </c>
      <c r="I19" s="6">
        <f t="shared" si="2"/>
        <v>390</v>
      </c>
      <c r="J19" s="7">
        <f t="shared" si="0"/>
        <v>0.03896298516409411</v>
      </c>
    </row>
    <row r="20" spans="1:10" ht="15">
      <c r="A20" s="57"/>
      <c r="B20" s="3" t="s">
        <v>25</v>
      </c>
      <c r="C20" s="6"/>
      <c r="D20" s="5">
        <v>4178</v>
      </c>
      <c r="E20" s="5">
        <v>4217</v>
      </c>
      <c r="F20" s="42">
        <f>(E20-D20)*15</f>
        <v>585</v>
      </c>
      <c r="G20" s="6">
        <v>0</v>
      </c>
      <c r="H20" s="6">
        <v>0</v>
      </c>
      <c r="I20" s="6">
        <f t="shared" si="2"/>
        <v>585</v>
      </c>
      <c r="J20" s="7">
        <f t="shared" si="0"/>
        <v>0.058444477746141164</v>
      </c>
    </row>
    <row r="21" spans="1:10" ht="15">
      <c r="A21" s="57"/>
      <c r="B21" s="3" t="s">
        <v>26</v>
      </c>
      <c r="C21" s="6"/>
      <c r="D21" s="5">
        <v>2024</v>
      </c>
      <c r="E21" s="5">
        <v>2036</v>
      </c>
      <c r="F21" s="42">
        <f>(E21-D21)*15</f>
        <v>180</v>
      </c>
      <c r="G21" s="6">
        <v>0</v>
      </c>
      <c r="H21" s="6">
        <v>0</v>
      </c>
      <c r="I21" s="6">
        <f t="shared" si="2"/>
        <v>180</v>
      </c>
      <c r="J21" s="7">
        <f t="shared" si="0"/>
        <v>0.017982916229581897</v>
      </c>
    </row>
    <row r="22" spans="1:10" ht="15">
      <c r="A22" s="57"/>
      <c r="B22" s="3" t="s">
        <v>27</v>
      </c>
      <c r="C22" s="6"/>
      <c r="D22" s="5">
        <v>2652.2</v>
      </c>
      <c r="E22" s="5">
        <v>2673</v>
      </c>
      <c r="F22" s="42">
        <f>(E22-D22)*15</f>
        <v>312.00000000000273</v>
      </c>
      <c r="G22" s="6">
        <v>0</v>
      </c>
      <c r="H22" s="6">
        <v>0</v>
      </c>
      <c r="I22" s="6">
        <f t="shared" si="2"/>
        <v>312.00000000000273</v>
      </c>
      <c r="J22" s="7">
        <f t="shared" si="0"/>
        <v>0.03117038813127556</v>
      </c>
    </row>
    <row r="23" spans="1:10" ht="15">
      <c r="A23" s="57"/>
      <c r="B23" s="3" t="s">
        <v>12</v>
      </c>
      <c r="C23" s="6"/>
      <c r="D23" s="5">
        <v>79778</v>
      </c>
      <c r="E23" s="5">
        <v>80241</v>
      </c>
      <c r="F23" s="42">
        <f>(E23-D23)*1</f>
        <v>463</v>
      </c>
      <c r="G23" s="6">
        <v>0</v>
      </c>
      <c r="H23" s="6">
        <v>0</v>
      </c>
      <c r="I23" s="6">
        <f t="shared" si="2"/>
        <v>463</v>
      </c>
      <c r="J23" s="7">
        <f t="shared" si="0"/>
        <v>0.04625605674609121</v>
      </c>
    </row>
    <row r="24" spans="1:10" ht="15">
      <c r="A24" s="57"/>
      <c r="B24" s="3" t="s">
        <v>13</v>
      </c>
      <c r="C24" s="6"/>
      <c r="D24" s="5">
        <v>89274</v>
      </c>
      <c r="E24" s="5">
        <v>89890</v>
      </c>
      <c r="F24" s="42">
        <f>(E24-D24)*1</f>
        <v>616</v>
      </c>
      <c r="G24" s="6">
        <v>0</v>
      </c>
      <c r="H24" s="6">
        <v>0</v>
      </c>
      <c r="I24" s="6">
        <f t="shared" si="2"/>
        <v>616</v>
      </c>
      <c r="J24" s="7">
        <f t="shared" si="0"/>
        <v>0.06154153554123583</v>
      </c>
    </row>
    <row r="25" spans="1:10" ht="15">
      <c r="A25" s="57"/>
      <c r="B25" s="3" t="s">
        <v>15</v>
      </c>
      <c r="C25" s="6"/>
      <c r="D25" s="12">
        <v>9421</v>
      </c>
      <c r="E25" s="12">
        <v>9477</v>
      </c>
      <c r="F25" s="7">
        <f>(E25-D25)*10</f>
        <v>560</v>
      </c>
      <c r="G25" s="6">
        <v>0</v>
      </c>
      <c r="H25" s="6">
        <v>0</v>
      </c>
      <c r="I25" s="6">
        <f t="shared" si="2"/>
        <v>560</v>
      </c>
      <c r="J25" s="7">
        <f t="shared" si="0"/>
        <v>0.05594685049203257</v>
      </c>
    </row>
    <row r="26" spans="1:10" ht="15">
      <c r="A26" s="57"/>
      <c r="B26" s="3" t="s">
        <v>14</v>
      </c>
      <c r="C26" s="6"/>
      <c r="D26" s="5">
        <v>9360</v>
      </c>
      <c r="E26" s="5">
        <v>9420</v>
      </c>
      <c r="F26" s="7">
        <f>(E26-D26)*10</f>
        <v>600</v>
      </c>
      <c r="G26" s="6">
        <v>0</v>
      </c>
      <c r="H26" s="6">
        <v>0</v>
      </c>
      <c r="I26" s="6">
        <f t="shared" si="2"/>
        <v>600</v>
      </c>
      <c r="J26" s="7">
        <f t="shared" si="0"/>
        <v>0.05994305409860633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6264.000000000003</v>
      </c>
      <c r="G27" s="44">
        <f>SUM(G11:G26)</f>
        <v>0</v>
      </c>
      <c r="H27" s="44">
        <f>SUM(H11:H26)</f>
        <v>0</v>
      </c>
      <c r="I27" s="44">
        <f>SUM(I11:I26)</f>
        <v>6264.000000000003</v>
      </c>
      <c r="J27" s="7">
        <f t="shared" si="0"/>
        <v>0.6258054847894503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3111</v>
      </c>
      <c r="G28" s="22">
        <f t="shared" si="3"/>
        <v>0</v>
      </c>
      <c r="H28" s="22">
        <f t="shared" si="3"/>
        <v>0</v>
      </c>
      <c r="I28" s="22">
        <f t="shared" si="3"/>
        <v>3111</v>
      </c>
      <c r="J28" s="7">
        <f t="shared" si="0"/>
        <v>0.3108047355012738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3153.0000000000027</v>
      </c>
      <c r="G29" s="22">
        <f t="shared" si="3"/>
        <v>0</v>
      </c>
      <c r="H29" s="22">
        <f t="shared" si="3"/>
        <v>0</v>
      </c>
      <c r="I29" s="22">
        <f t="shared" si="3"/>
        <v>3153.0000000000027</v>
      </c>
      <c r="J29" s="7">
        <f t="shared" si="0"/>
        <v>0.3150007492881765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F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53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41.22+0.37</f>
        <v>41.589999999999996</v>
      </c>
      <c r="G7" s="40">
        <f>G8*0.0478</f>
        <v>54.396878</v>
      </c>
      <c r="H7" s="36">
        <f>0.37</f>
        <v>0.37</v>
      </c>
      <c r="I7" s="6">
        <f>F7-G7-H7</f>
        <v>-13.176878000000004</v>
      </c>
      <c r="J7" s="7">
        <f aca="true" t="shared" si="0" ref="J7:J29">I7/10009.5</f>
        <v>-0.0013164371846745597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961.34+7.86</f>
        <v>969.2</v>
      </c>
      <c r="G8" s="6">
        <f>806.01+306.74+25.26</f>
        <v>1138.01</v>
      </c>
      <c r="H8" s="6">
        <f>7.86</f>
        <v>7.86</v>
      </c>
      <c r="I8" s="6">
        <f>F8-G8-H8</f>
        <v>-176.66999999999996</v>
      </c>
      <c r="J8" s="7">
        <f t="shared" si="0"/>
        <v>-0.017650232279334627</v>
      </c>
      <c r="L8" s="9"/>
    </row>
    <row r="9" spans="1:12" ht="15">
      <c r="A9" s="2">
        <v>3</v>
      </c>
      <c r="B9" s="3" t="s">
        <v>37</v>
      </c>
      <c r="C9" s="6" t="s">
        <v>54</v>
      </c>
      <c r="D9" s="5"/>
      <c r="E9" s="5"/>
      <c r="F9" s="6">
        <f>1385+20</f>
        <v>1405</v>
      </c>
      <c r="G9" s="6">
        <f>979.7+492.73+23.52</f>
        <v>1495.95</v>
      </c>
      <c r="H9" s="6">
        <v>17</v>
      </c>
      <c r="I9" s="6">
        <f>F9-G9-H9</f>
        <v>-107.95000000000005</v>
      </c>
      <c r="J9" s="7">
        <f t="shared" si="0"/>
        <v>-0.010784754483240925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2374.2</v>
      </c>
      <c r="G10" s="6">
        <f>1709.98+814.2+47.24+54.68+7.86</f>
        <v>2633.96</v>
      </c>
      <c r="H10" s="6">
        <f>H8+H9</f>
        <v>24.86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41000</v>
      </c>
      <c r="E11" s="5">
        <v>41220</v>
      </c>
      <c r="F11" s="7">
        <f aca="true" t="shared" si="1" ref="F11:F18">(E11-D11)*1</f>
        <v>220</v>
      </c>
      <c r="G11" s="6">
        <v>0</v>
      </c>
      <c r="H11" s="6">
        <v>0</v>
      </c>
      <c r="I11" s="6">
        <f aca="true" t="shared" si="2" ref="I11:I26">F11-G11-H11</f>
        <v>220</v>
      </c>
      <c r="J11" s="7">
        <f t="shared" si="0"/>
        <v>0.021979119836155653</v>
      </c>
    </row>
    <row r="12" spans="1:10" ht="15">
      <c r="A12" s="57"/>
      <c r="B12" s="3" t="s">
        <v>17</v>
      </c>
      <c r="C12" s="6"/>
      <c r="D12" s="5">
        <v>60410</v>
      </c>
      <c r="E12" s="5">
        <v>60850</v>
      </c>
      <c r="F12" s="7">
        <f t="shared" si="1"/>
        <v>440</v>
      </c>
      <c r="G12" s="6">
        <v>0</v>
      </c>
      <c r="H12" s="6">
        <v>0</v>
      </c>
      <c r="I12" s="6">
        <f t="shared" si="2"/>
        <v>440</v>
      </c>
      <c r="J12" s="7">
        <f t="shared" si="0"/>
        <v>0.04395823967231131</v>
      </c>
    </row>
    <row r="13" spans="1:10" ht="15">
      <c r="A13" s="57"/>
      <c r="B13" s="3" t="s">
        <v>18</v>
      </c>
      <c r="C13" s="6"/>
      <c r="D13" s="5">
        <v>53650</v>
      </c>
      <c r="E13" s="5">
        <v>53920</v>
      </c>
      <c r="F13" s="7">
        <f t="shared" si="1"/>
        <v>270</v>
      </c>
      <c r="G13" s="6">
        <v>0</v>
      </c>
      <c r="H13" s="6">
        <v>0</v>
      </c>
      <c r="I13" s="6">
        <f t="shared" si="2"/>
        <v>270</v>
      </c>
      <c r="J13" s="7">
        <f t="shared" si="0"/>
        <v>0.026974374344372845</v>
      </c>
    </row>
    <row r="14" spans="1:10" ht="15">
      <c r="A14" s="57"/>
      <c r="B14" s="3" t="s">
        <v>19</v>
      </c>
      <c r="C14" s="6"/>
      <c r="D14" s="5">
        <v>63070</v>
      </c>
      <c r="E14" s="5">
        <v>63460</v>
      </c>
      <c r="F14" s="7">
        <f t="shared" si="1"/>
        <v>390</v>
      </c>
      <c r="G14" s="6">
        <v>0</v>
      </c>
      <c r="H14" s="6">
        <v>0</v>
      </c>
      <c r="I14" s="6">
        <f t="shared" si="2"/>
        <v>390</v>
      </c>
      <c r="J14" s="7">
        <f t="shared" si="0"/>
        <v>0.03896298516409411</v>
      </c>
    </row>
    <row r="15" spans="1:10" ht="15">
      <c r="A15" s="57"/>
      <c r="B15" s="3" t="s">
        <v>47</v>
      </c>
      <c r="C15" s="6"/>
      <c r="D15" s="5">
        <v>626</v>
      </c>
      <c r="E15" s="5">
        <v>750</v>
      </c>
      <c r="F15" s="42">
        <f t="shared" si="1"/>
        <v>124</v>
      </c>
      <c r="G15" s="6">
        <v>0</v>
      </c>
      <c r="H15" s="6">
        <v>0</v>
      </c>
      <c r="I15" s="6">
        <f t="shared" si="2"/>
        <v>124</v>
      </c>
      <c r="J15" s="7">
        <f t="shared" si="0"/>
        <v>0.01238823118037864</v>
      </c>
    </row>
    <row r="16" spans="1:10" ht="15">
      <c r="A16" s="57"/>
      <c r="B16" s="3" t="s">
        <v>48</v>
      </c>
      <c r="C16" s="6"/>
      <c r="D16" s="5">
        <v>126</v>
      </c>
      <c r="E16" s="5">
        <v>200</v>
      </c>
      <c r="F16" s="42">
        <f t="shared" si="1"/>
        <v>74</v>
      </c>
      <c r="G16" s="6">
        <v>0</v>
      </c>
      <c r="H16" s="6">
        <v>0</v>
      </c>
      <c r="I16" s="6">
        <f t="shared" si="2"/>
        <v>74</v>
      </c>
      <c r="J16" s="7">
        <f t="shared" si="0"/>
        <v>0.007392976672161447</v>
      </c>
    </row>
    <row r="17" spans="1:10" ht="15">
      <c r="A17" s="57"/>
      <c r="B17" s="3" t="s">
        <v>49</v>
      </c>
      <c r="C17" s="6"/>
      <c r="D17" s="5">
        <v>660</v>
      </c>
      <c r="E17" s="5">
        <v>1200</v>
      </c>
      <c r="F17" s="42">
        <f t="shared" si="1"/>
        <v>540</v>
      </c>
      <c r="G17" s="6">
        <v>0</v>
      </c>
      <c r="H17" s="6">
        <v>0</v>
      </c>
      <c r="I17" s="6">
        <f t="shared" si="2"/>
        <v>540</v>
      </c>
      <c r="J17" s="7">
        <f t="shared" si="0"/>
        <v>0.05394874868874569</v>
      </c>
    </row>
    <row r="18" spans="1:10" ht="15">
      <c r="A18" s="57"/>
      <c r="B18" s="3" t="s">
        <v>50</v>
      </c>
      <c r="C18" s="6"/>
      <c r="D18" s="5">
        <v>136</v>
      </c>
      <c r="E18" s="5">
        <v>250</v>
      </c>
      <c r="F18" s="42">
        <f t="shared" si="1"/>
        <v>114</v>
      </c>
      <c r="G18" s="6">
        <v>0</v>
      </c>
      <c r="H18" s="6">
        <v>0</v>
      </c>
      <c r="I18" s="6">
        <f t="shared" si="2"/>
        <v>114</v>
      </c>
      <c r="J18" s="7">
        <f t="shared" si="0"/>
        <v>0.011389180278735202</v>
      </c>
    </row>
    <row r="19" spans="1:10" ht="15">
      <c r="A19" s="57"/>
      <c r="B19" s="3" t="s">
        <v>24</v>
      </c>
      <c r="C19" s="6"/>
      <c r="D19" s="5">
        <v>3502</v>
      </c>
      <c r="E19" s="5">
        <v>3530</v>
      </c>
      <c r="F19" s="42">
        <f>(E19-D19)*15</f>
        <v>420</v>
      </c>
      <c r="G19" s="6">
        <v>0</v>
      </c>
      <c r="H19" s="6">
        <v>0</v>
      </c>
      <c r="I19" s="6">
        <f t="shared" si="2"/>
        <v>420</v>
      </c>
      <c r="J19" s="7">
        <f t="shared" si="0"/>
        <v>0.04196013786902442</v>
      </c>
    </row>
    <row r="20" spans="1:10" ht="15">
      <c r="A20" s="57"/>
      <c r="B20" s="3" t="s">
        <v>25</v>
      </c>
      <c r="C20" s="6"/>
      <c r="D20" s="5">
        <v>4217</v>
      </c>
      <c r="E20" s="5">
        <v>4255</v>
      </c>
      <c r="F20" s="42">
        <f>(E20-D20)*15</f>
        <v>570</v>
      </c>
      <c r="G20" s="6">
        <v>0</v>
      </c>
      <c r="H20" s="6">
        <v>0</v>
      </c>
      <c r="I20" s="6">
        <f t="shared" si="2"/>
        <v>570</v>
      </c>
      <c r="J20" s="7">
        <f t="shared" si="0"/>
        <v>0.05694590139367601</v>
      </c>
    </row>
    <row r="21" spans="1:10" ht="15">
      <c r="A21" s="57"/>
      <c r="B21" s="3" t="s">
        <v>26</v>
      </c>
      <c r="C21" s="6"/>
      <c r="D21" s="5">
        <v>2036</v>
      </c>
      <c r="E21" s="5">
        <v>2050</v>
      </c>
      <c r="F21" s="42">
        <f>(E21-D21)*15</f>
        <v>210</v>
      </c>
      <c r="G21" s="6">
        <v>0</v>
      </c>
      <c r="H21" s="6">
        <v>0</v>
      </c>
      <c r="I21" s="6">
        <f t="shared" si="2"/>
        <v>210</v>
      </c>
      <c r="J21" s="7">
        <f t="shared" si="0"/>
        <v>0.02098006893451221</v>
      </c>
    </row>
    <row r="22" spans="1:10" ht="15">
      <c r="A22" s="57"/>
      <c r="B22" s="3" t="s">
        <v>27</v>
      </c>
      <c r="C22" s="6"/>
      <c r="D22" s="5">
        <v>2673</v>
      </c>
      <c r="E22" s="5">
        <v>2690</v>
      </c>
      <c r="F22" s="42">
        <f>(E22-D22)*15</f>
        <v>255</v>
      </c>
      <c r="G22" s="6">
        <v>0</v>
      </c>
      <c r="H22" s="6">
        <v>0</v>
      </c>
      <c r="I22" s="6">
        <f t="shared" si="2"/>
        <v>255</v>
      </c>
      <c r="J22" s="7">
        <f t="shared" si="0"/>
        <v>0.02547579799190769</v>
      </c>
    </row>
    <row r="23" spans="1:10" ht="15">
      <c r="A23" s="57"/>
      <c r="B23" s="3" t="s">
        <v>12</v>
      </c>
      <c r="C23" s="6"/>
      <c r="D23" s="5">
        <v>80241</v>
      </c>
      <c r="E23" s="5">
        <v>80700</v>
      </c>
      <c r="F23" s="42">
        <f>(E23-D23)*1</f>
        <v>459</v>
      </c>
      <c r="G23" s="6">
        <v>0</v>
      </c>
      <c r="H23" s="6">
        <v>0</v>
      </c>
      <c r="I23" s="6">
        <f t="shared" si="2"/>
        <v>459</v>
      </c>
      <c r="J23" s="7">
        <f t="shared" si="0"/>
        <v>0.04585643638543384</v>
      </c>
    </row>
    <row r="24" spans="1:10" ht="15">
      <c r="A24" s="57"/>
      <c r="B24" s="3" t="s">
        <v>13</v>
      </c>
      <c r="C24" s="6"/>
      <c r="D24" s="5">
        <v>89890</v>
      </c>
      <c r="E24" s="5">
        <v>90500</v>
      </c>
      <c r="F24" s="42">
        <f>(E24-D24)*1</f>
        <v>610</v>
      </c>
      <c r="G24" s="6">
        <v>0</v>
      </c>
      <c r="H24" s="6">
        <v>0</v>
      </c>
      <c r="I24" s="6">
        <f t="shared" si="2"/>
        <v>610</v>
      </c>
      <c r="J24" s="7">
        <f t="shared" si="0"/>
        <v>0.06094210500024976</v>
      </c>
    </row>
    <row r="25" spans="1:10" ht="15">
      <c r="A25" s="57"/>
      <c r="B25" s="3" t="s">
        <v>15</v>
      </c>
      <c r="C25" s="6"/>
      <c r="D25" s="12">
        <v>9477</v>
      </c>
      <c r="E25" s="12">
        <v>9540</v>
      </c>
      <c r="F25" s="7">
        <f>(E25-D25)*10</f>
        <v>630</v>
      </c>
      <c r="G25" s="6">
        <v>0</v>
      </c>
      <c r="H25" s="6">
        <v>0</v>
      </c>
      <c r="I25" s="6">
        <f t="shared" si="2"/>
        <v>630</v>
      </c>
      <c r="J25" s="7">
        <f t="shared" si="0"/>
        <v>0.06294020680353664</v>
      </c>
    </row>
    <row r="26" spans="1:10" ht="15">
      <c r="A26" s="57"/>
      <c r="B26" s="3" t="s">
        <v>14</v>
      </c>
      <c r="C26" s="6"/>
      <c r="D26" s="5">
        <v>9420</v>
      </c>
      <c r="E26" s="5">
        <v>9480</v>
      </c>
      <c r="F26" s="7">
        <f>(E26-D26)*10</f>
        <v>600</v>
      </c>
      <c r="G26" s="6">
        <v>0</v>
      </c>
      <c r="H26" s="6">
        <v>0</v>
      </c>
      <c r="I26" s="6">
        <f t="shared" si="2"/>
        <v>600</v>
      </c>
      <c r="J26" s="7">
        <f t="shared" si="0"/>
        <v>0.05994305409860633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5926</v>
      </c>
      <c r="G27" s="44">
        <f>SUM(G11:G26)</f>
        <v>0</v>
      </c>
      <c r="H27" s="44">
        <f>SUM(H11:H26)</f>
        <v>0</v>
      </c>
      <c r="I27" s="44">
        <f>SUM(I11:I26)</f>
        <v>5926</v>
      </c>
      <c r="J27" s="7">
        <f t="shared" si="0"/>
        <v>0.5920375643139018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2873</v>
      </c>
      <c r="G28" s="22">
        <f t="shared" si="3"/>
        <v>0</v>
      </c>
      <c r="H28" s="22">
        <f t="shared" si="3"/>
        <v>0</v>
      </c>
      <c r="I28" s="22">
        <f t="shared" si="3"/>
        <v>2873</v>
      </c>
      <c r="J28" s="7">
        <f t="shared" si="0"/>
        <v>0.28702732404215997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3053</v>
      </c>
      <c r="G29" s="22">
        <f t="shared" si="3"/>
        <v>0</v>
      </c>
      <c r="H29" s="22">
        <f t="shared" si="3"/>
        <v>0</v>
      </c>
      <c r="I29" s="22">
        <f t="shared" si="3"/>
        <v>3053</v>
      </c>
      <c r="J29" s="7">
        <f t="shared" si="0"/>
        <v>0.30501024027174184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H5:H6"/>
    <mergeCell ref="A11:A2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1" sqref="A11:A2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1.003906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33" t="s">
        <v>55</v>
      </c>
    </row>
    <row r="4" spans="1:10" ht="1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8.25" customHeight="1">
      <c r="A5" s="60" t="s">
        <v>0</v>
      </c>
      <c r="B5" s="62" t="s">
        <v>1</v>
      </c>
      <c r="C5" s="60" t="s">
        <v>2</v>
      </c>
      <c r="D5" s="65" t="s">
        <v>5</v>
      </c>
      <c r="E5" s="66"/>
      <c r="F5" s="60" t="s">
        <v>32</v>
      </c>
      <c r="G5" s="60" t="s">
        <v>31</v>
      </c>
      <c r="H5" s="60" t="s">
        <v>30</v>
      </c>
      <c r="I5" s="60" t="s">
        <v>3</v>
      </c>
      <c r="J5" s="62" t="s">
        <v>4</v>
      </c>
    </row>
    <row r="6" spans="1:10" ht="37.5" customHeight="1">
      <c r="A6" s="61"/>
      <c r="B6" s="63"/>
      <c r="C6" s="61"/>
      <c r="D6" s="34" t="s">
        <v>9</v>
      </c>
      <c r="E6" s="35" t="s">
        <v>10</v>
      </c>
      <c r="F6" s="61"/>
      <c r="G6" s="61"/>
      <c r="H6" s="61"/>
      <c r="I6" s="61"/>
      <c r="J6" s="63"/>
    </row>
    <row r="7" spans="1:12" ht="15">
      <c r="A7" s="36">
        <v>1</v>
      </c>
      <c r="B7" s="37" t="s">
        <v>41</v>
      </c>
      <c r="C7" s="36"/>
      <c r="D7" s="38"/>
      <c r="E7" s="39"/>
      <c r="F7" s="36">
        <f>62.96+0.7</f>
        <v>63.660000000000004</v>
      </c>
      <c r="G7" s="40">
        <f>G8*0.0478</f>
        <v>50.419918</v>
      </c>
      <c r="H7" s="45">
        <f>0.7</f>
        <v>0.7</v>
      </c>
      <c r="I7" s="6">
        <f>I8*0.0478</f>
        <v>1.85807682</v>
      </c>
      <c r="J7" s="7">
        <f aca="true" t="shared" si="0" ref="J7:J29">I7/10009.5</f>
        <v>0.00018563133223437734</v>
      </c>
      <c r="L7" s="9"/>
    </row>
    <row r="8" spans="1:12" ht="15">
      <c r="A8" s="2">
        <v>2</v>
      </c>
      <c r="B8" s="3" t="s">
        <v>7</v>
      </c>
      <c r="C8" s="7"/>
      <c r="D8" s="5"/>
      <c r="E8" s="5"/>
      <c r="F8" s="7">
        <f>1121.95+9.18</f>
        <v>1131.13</v>
      </c>
      <c r="G8" s="6">
        <f>810.02+161.28+83.51</f>
        <v>1054.81</v>
      </c>
      <c r="H8" s="6">
        <f>9.18</f>
        <v>9.18</v>
      </c>
      <c r="I8" s="6">
        <v>38.8719</v>
      </c>
      <c r="J8" s="7">
        <f t="shared" si="0"/>
        <v>0.003883500674359358</v>
      </c>
      <c r="L8" s="9"/>
    </row>
    <row r="9" spans="1:12" ht="15">
      <c r="A9" s="2">
        <v>3</v>
      </c>
      <c r="B9" s="3" t="s">
        <v>37</v>
      </c>
      <c r="C9" s="6" t="s">
        <v>56</v>
      </c>
      <c r="D9" s="5"/>
      <c r="E9" s="5"/>
      <c r="F9" s="6">
        <v>1225</v>
      </c>
      <c r="G9" s="6">
        <f>979.7+142.04+23.05</f>
        <v>1144.79</v>
      </c>
      <c r="H9" s="6">
        <f>19</f>
        <v>19</v>
      </c>
      <c r="I9" s="6">
        <f>38.8718</f>
        <v>38.8718</v>
      </c>
      <c r="J9" s="7">
        <f t="shared" si="0"/>
        <v>0.003883490683850342</v>
      </c>
      <c r="L9" s="9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2356.13</v>
      </c>
      <c r="G10" s="6">
        <f>1709.98+310.26+78.85+36.71+63.8</f>
        <v>2199.6000000000004</v>
      </c>
      <c r="H10" s="6">
        <f>H8+H9</f>
        <v>28.18</v>
      </c>
      <c r="I10" s="6">
        <v>0</v>
      </c>
      <c r="J10" s="7">
        <f t="shared" si="0"/>
        <v>0</v>
      </c>
    </row>
    <row r="11" spans="1:10" ht="15">
      <c r="A11" s="50">
        <v>5</v>
      </c>
      <c r="B11" s="3" t="s">
        <v>16</v>
      </c>
      <c r="C11" s="6"/>
      <c r="D11" s="5">
        <v>41220</v>
      </c>
      <c r="E11" s="5">
        <v>41460</v>
      </c>
      <c r="F11" s="7">
        <f aca="true" t="shared" si="1" ref="F11:F18">(E11-D11)*1</f>
        <v>240</v>
      </c>
      <c r="G11" s="6">
        <v>0</v>
      </c>
      <c r="H11" s="6">
        <v>0</v>
      </c>
      <c r="I11" s="6">
        <f aca="true" t="shared" si="2" ref="I11:I26">F11-G11-H11</f>
        <v>240</v>
      </c>
      <c r="J11" s="7">
        <f t="shared" si="0"/>
        <v>0.02397722163944253</v>
      </c>
    </row>
    <row r="12" spans="1:10" ht="15">
      <c r="A12" s="57"/>
      <c r="B12" s="3" t="s">
        <v>17</v>
      </c>
      <c r="C12" s="6"/>
      <c r="D12" s="5">
        <v>60850</v>
      </c>
      <c r="E12" s="5">
        <v>61270</v>
      </c>
      <c r="F12" s="7">
        <f t="shared" si="1"/>
        <v>420</v>
      </c>
      <c r="G12" s="6">
        <v>0</v>
      </c>
      <c r="H12" s="6">
        <v>0</v>
      </c>
      <c r="I12" s="6">
        <f t="shared" si="2"/>
        <v>420</v>
      </c>
      <c r="J12" s="7">
        <f t="shared" si="0"/>
        <v>0.04196013786902442</v>
      </c>
    </row>
    <row r="13" spans="1:10" ht="15">
      <c r="A13" s="57"/>
      <c r="B13" s="3" t="s">
        <v>18</v>
      </c>
      <c r="C13" s="6"/>
      <c r="D13" s="5">
        <v>53920</v>
      </c>
      <c r="E13" s="5">
        <v>54250</v>
      </c>
      <c r="F13" s="7">
        <f t="shared" si="1"/>
        <v>330</v>
      </c>
      <c r="G13" s="6">
        <v>0</v>
      </c>
      <c r="H13" s="6">
        <v>0</v>
      </c>
      <c r="I13" s="6">
        <f t="shared" si="2"/>
        <v>330</v>
      </c>
      <c r="J13" s="7">
        <f t="shared" si="0"/>
        <v>0.032968679754233475</v>
      </c>
    </row>
    <row r="14" spans="1:10" ht="15">
      <c r="A14" s="57"/>
      <c r="B14" s="3" t="s">
        <v>19</v>
      </c>
      <c r="C14" s="6"/>
      <c r="D14" s="5">
        <v>63460</v>
      </c>
      <c r="E14" s="5">
        <v>63870</v>
      </c>
      <c r="F14" s="7">
        <f t="shared" si="1"/>
        <v>410</v>
      </c>
      <c r="G14" s="6">
        <v>0</v>
      </c>
      <c r="H14" s="6">
        <v>0</v>
      </c>
      <c r="I14" s="6">
        <f t="shared" si="2"/>
        <v>410</v>
      </c>
      <c r="J14" s="7">
        <f t="shared" si="0"/>
        <v>0.04096108696738099</v>
      </c>
    </row>
    <row r="15" spans="1:10" ht="15">
      <c r="A15" s="57"/>
      <c r="B15" s="3" t="s">
        <v>47</v>
      </c>
      <c r="C15" s="6"/>
      <c r="D15" s="5">
        <v>750</v>
      </c>
      <c r="E15" s="5">
        <v>1551</v>
      </c>
      <c r="F15" s="42">
        <f t="shared" si="1"/>
        <v>801</v>
      </c>
      <c r="G15" s="6">
        <v>0</v>
      </c>
      <c r="H15" s="6">
        <v>0</v>
      </c>
      <c r="I15" s="6">
        <f t="shared" si="2"/>
        <v>801</v>
      </c>
      <c r="J15" s="7">
        <f t="shared" si="0"/>
        <v>0.08002397722163944</v>
      </c>
    </row>
    <row r="16" spans="1:10" ht="15">
      <c r="A16" s="57"/>
      <c r="B16" s="3" t="s">
        <v>48</v>
      </c>
      <c r="C16" s="6"/>
      <c r="D16" s="5">
        <v>200</v>
      </c>
      <c r="E16" s="5">
        <v>276</v>
      </c>
      <c r="F16" s="42">
        <f t="shared" si="1"/>
        <v>76</v>
      </c>
      <c r="G16" s="6">
        <v>0</v>
      </c>
      <c r="H16" s="6">
        <v>0</v>
      </c>
      <c r="I16" s="6">
        <f t="shared" si="2"/>
        <v>76</v>
      </c>
      <c r="J16" s="7">
        <f t="shared" si="0"/>
        <v>0.007592786852490135</v>
      </c>
    </row>
    <row r="17" spans="1:10" ht="15">
      <c r="A17" s="57"/>
      <c r="B17" s="3" t="s">
        <v>49</v>
      </c>
      <c r="C17" s="6"/>
      <c r="D17" s="5">
        <v>1200</v>
      </c>
      <c r="E17" s="5">
        <v>1690</v>
      </c>
      <c r="F17" s="42">
        <f t="shared" si="1"/>
        <v>490</v>
      </c>
      <c r="G17" s="6">
        <v>0</v>
      </c>
      <c r="H17" s="6">
        <v>0</v>
      </c>
      <c r="I17" s="6">
        <f t="shared" si="2"/>
        <v>490</v>
      </c>
      <c r="J17" s="7">
        <f t="shared" si="0"/>
        <v>0.048953494180528495</v>
      </c>
    </row>
    <row r="18" spans="1:10" ht="15">
      <c r="A18" s="57"/>
      <c r="B18" s="3" t="s">
        <v>50</v>
      </c>
      <c r="C18" s="6"/>
      <c r="D18" s="5">
        <v>250</v>
      </c>
      <c r="E18" s="5">
        <v>332</v>
      </c>
      <c r="F18" s="42">
        <f t="shared" si="1"/>
        <v>82</v>
      </c>
      <c r="G18" s="6">
        <v>0</v>
      </c>
      <c r="H18" s="6">
        <v>0</v>
      </c>
      <c r="I18" s="6">
        <f t="shared" si="2"/>
        <v>82</v>
      </c>
      <c r="J18" s="7">
        <f t="shared" si="0"/>
        <v>0.008192217393476198</v>
      </c>
    </row>
    <row r="19" spans="1:10" ht="15">
      <c r="A19" s="57"/>
      <c r="B19" s="3" t="s">
        <v>24</v>
      </c>
      <c r="C19" s="6"/>
      <c r="D19" s="5">
        <v>3530</v>
      </c>
      <c r="E19" s="5">
        <v>3561</v>
      </c>
      <c r="F19" s="42">
        <f>(E19-D19)*15</f>
        <v>465</v>
      </c>
      <c r="G19" s="6">
        <v>0</v>
      </c>
      <c r="H19" s="6">
        <v>0</v>
      </c>
      <c r="I19" s="6">
        <f t="shared" si="2"/>
        <v>465</v>
      </c>
      <c r="J19" s="7">
        <f t="shared" si="0"/>
        <v>0.046455866926419905</v>
      </c>
    </row>
    <row r="20" spans="1:10" ht="15">
      <c r="A20" s="57"/>
      <c r="B20" s="3" t="s">
        <v>25</v>
      </c>
      <c r="C20" s="6"/>
      <c r="D20" s="5">
        <v>4255</v>
      </c>
      <c r="E20" s="5">
        <v>4295</v>
      </c>
      <c r="F20" s="42">
        <f>(E20-D20)*15</f>
        <v>600</v>
      </c>
      <c r="G20" s="6">
        <v>0</v>
      </c>
      <c r="H20" s="6">
        <v>0</v>
      </c>
      <c r="I20" s="6">
        <f t="shared" si="2"/>
        <v>600</v>
      </c>
      <c r="J20" s="7">
        <f t="shared" si="0"/>
        <v>0.05994305409860633</v>
      </c>
    </row>
    <row r="21" spans="1:10" ht="15">
      <c r="A21" s="57"/>
      <c r="B21" s="3" t="s">
        <v>26</v>
      </c>
      <c r="C21" s="6"/>
      <c r="D21" s="5">
        <v>2050</v>
      </c>
      <c r="E21" s="5">
        <v>2059</v>
      </c>
      <c r="F21" s="42">
        <f>(E21-D21)*15</f>
        <v>135</v>
      </c>
      <c r="G21" s="6">
        <v>0</v>
      </c>
      <c r="H21" s="6">
        <v>0</v>
      </c>
      <c r="I21" s="6">
        <f t="shared" si="2"/>
        <v>135</v>
      </c>
      <c r="J21" s="7">
        <f t="shared" si="0"/>
        <v>0.013487187172186423</v>
      </c>
    </row>
    <row r="22" spans="1:10" ht="15">
      <c r="A22" s="57"/>
      <c r="B22" s="3" t="s">
        <v>27</v>
      </c>
      <c r="C22" s="6"/>
      <c r="D22" s="5">
        <v>2690</v>
      </c>
      <c r="E22" s="5">
        <v>2706</v>
      </c>
      <c r="F22" s="42">
        <f>(E22-D22)*15</f>
        <v>240</v>
      </c>
      <c r="G22" s="6">
        <v>0</v>
      </c>
      <c r="H22" s="6">
        <v>0</v>
      </c>
      <c r="I22" s="6">
        <f t="shared" si="2"/>
        <v>240</v>
      </c>
      <c r="J22" s="7">
        <f t="shared" si="0"/>
        <v>0.02397722163944253</v>
      </c>
    </row>
    <row r="23" spans="1:10" ht="15">
      <c r="A23" s="57"/>
      <c r="B23" s="3" t="s">
        <v>12</v>
      </c>
      <c r="C23" s="6"/>
      <c r="D23" s="5">
        <v>80700</v>
      </c>
      <c r="E23" s="5">
        <v>81140</v>
      </c>
      <c r="F23" s="42">
        <f>(E23-D23)*1</f>
        <v>440</v>
      </c>
      <c r="G23" s="6">
        <v>0</v>
      </c>
      <c r="H23" s="6">
        <v>0</v>
      </c>
      <c r="I23" s="6">
        <f t="shared" si="2"/>
        <v>440</v>
      </c>
      <c r="J23" s="7">
        <f t="shared" si="0"/>
        <v>0.04395823967231131</v>
      </c>
    </row>
    <row r="24" spans="1:10" ht="15">
      <c r="A24" s="57"/>
      <c r="B24" s="3" t="s">
        <v>13</v>
      </c>
      <c r="C24" s="6"/>
      <c r="D24" s="5">
        <v>90500</v>
      </c>
      <c r="E24" s="5">
        <v>90800</v>
      </c>
      <c r="F24" s="42">
        <f>(E24-D24)*1</f>
        <v>300</v>
      </c>
      <c r="G24" s="6">
        <v>0</v>
      </c>
      <c r="H24" s="6">
        <v>0</v>
      </c>
      <c r="I24" s="6">
        <f t="shared" si="2"/>
        <v>300</v>
      </c>
      <c r="J24" s="7">
        <f t="shared" si="0"/>
        <v>0.029971527049303164</v>
      </c>
    </row>
    <row r="25" spans="1:10" ht="15">
      <c r="A25" s="57"/>
      <c r="B25" s="3" t="s">
        <v>15</v>
      </c>
      <c r="C25" s="6"/>
      <c r="D25" s="12">
        <v>9540</v>
      </c>
      <c r="E25" s="12">
        <v>9593</v>
      </c>
      <c r="F25" s="7">
        <f>(E25-D25)*10</f>
        <v>530</v>
      </c>
      <c r="G25" s="6">
        <v>0</v>
      </c>
      <c r="H25" s="6">
        <v>0</v>
      </c>
      <c r="I25" s="6">
        <f t="shared" si="2"/>
        <v>530</v>
      </c>
      <c r="J25" s="7">
        <f t="shared" si="0"/>
        <v>0.052949697787102255</v>
      </c>
    </row>
    <row r="26" spans="1:10" ht="15">
      <c r="A26" s="57"/>
      <c r="B26" s="3" t="s">
        <v>14</v>
      </c>
      <c r="C26" s="6"/>
      <c r="D26" s="5">
        <v>9480</v>
      </c>
      <c r="E26" s="5">
        <v>9522</v>
      </c>
      <c r="F26" s="7">
        <f>(E26-D26)*10</f>
        <v>420</v>
      </c>
      <c r="G26" s="6">
        <v>0</v>
      </c>
      <c r="H26" s="6">
        <v>0</v>
      </c>
      <c r="I26" s="6">
        <f t="shared" si="2"/>
        <v>420</v>
      </c>
      <c r="J26" s="7">
        <f t="shared" si="0"/>
        <v>0.04196013786902442</v>
      </c>
    </row>
    <row r="27" spans="1:12" ht="15">
      <c r="A27" s="59"/>
      <c r="B27" s="43" t="s">
        <v>11</v>
      </c>
      <c r="C27" s="43"/>
      <c r="D27" s="8"/>
      <c r="E27" s="43"/>
      <c r="F27" s="44">
        <f>SUM(F11:F26)</f>
        <v>5979</v>
      </c>
      <c r="G27" s="44">
        <f>SUM(G11:G26)</f>
        <v>0</v>
      </c>
      <c r="H27" s="44">
        <f>SUM(H11:H26)</f>
        <v>0</v>
      </c>
      <c r="I27" s="44">
        <f>SUM(I11:I26)</f>
        <v>5979</v>
      </c>
      <c r="J27" s="7">
        <f t="shared" si="0"/>
        <v>0.597332534092612</v>
      </c>
      <c r="K27" s="23"/>
      <c r="L27" s="9"/>
    </row>
    <row r="28" spans="1:12" ht="15">
      <c r="A28" s="20"/>
      <c r="B28" s="20"/>
      <c r="C28" s="20"/>
      <c r="D28" s="21"/>
      <c r="E28" s="20" t="s">
        <v>28</v>
      </c>
      <c r="F28" s="22">
        <f aca="true" t="shared" si="3" ref="F28:I29">F11+F13+F15+F17+F19+F21+F23+F25</f>
        <v>3431</v>
      </c>
      <c r="G28" s="22">
        <f t="shared" si="3"/>
        <v>0</v>
      </c>
      <c r="H28" s="22">
        <f t="shared" si="3"/>
        <v>0</v>
      </c>
      <c r="I28" s="22">
        <f t="shared" si="3"/>
        <v>3431</v>
      </c>
      <c r="J28" s="7">
        <f t="shared" si="0"/>
        <v>0.3427743643538638</v>
      </c>
      <c r="K28" s="23"/>
      <c r="L28" s="9"/>
    </row>
    <row r="29" spans="1:10" ht="15">
      <c r="A29" s="20"/>
      <c r="B29" s="20"/>
      <c r="C29" s="20"/>
      <c r="D29" s="21"/>
      <c r="E29" s="20" t="s">
        <v>29</v>
      </c>
      <c r="F29" s="22">
        <f t="shared" si="3"/>
        <v>2548</v>
      </c>
      <c r="G29" s="22">
        <f t="shared" si="3"/>
        <v>0</v>
      </c>
      <c r="H29" s="22">
        <f t="shared" si="3"/>
        <v>0</v>
      </c>
      <c r="I29" s="22">
        <f t="shared" si="3"/>
        <v>2548</v>
      </c>
      <c r="J29" s="7">
        <f t="shared" si="0"/>
        <v>0.2545581697387482</v>
      </c>
    </row>
    <row r="30" spans="1:8" ht="15">
      <c r="A30" s="1"/>
      <c r="B30" s="1"/>
      <c r="C30" s="1"/>
      <c r="D30" s="1"/>
      <c r="E30" s="1"/>
      <c r="F30" s="19"/>
      <c r="G30" s="24"/>
      <c r="H30" s="1"/>
    </row>
    <row r="31" spans="1:8" ht="15">
      <c r="A31" s="1"/>
      <c r="B31" s="1"/>
      <c r="C31" s="1"/>
      <c r="D31" s="1"/>
      <c r="E31" s="1"/>
      <c r="F31" s="19"/>
      <c r="G31" s="24"/>
      <c r="H31" s="1"/>
    </row>
    <row r="32" spans="1:8" ht="15">
      <c r="A32" s="1"/>
      <c r="B32" s="1"/>
      <c r="C32" s="1"/>
      <c r="D32" s="1"/>
      <c r="E32" s="1"/>
      <c r="F32" s="19"/>
      <c r="G32" s="18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27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2014-02-06T04:31:07Z</dcterms:modified>
  <cp:category/>
  <cp:version/>
  <cp:contentType/>
  <cp:contentStatus/>
</cp:coreProperties>
</file>