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99 (январь)" sheetId="1" r:id="rId1"/>
    <sheet name="99 (февраль)" sheetId="2" r:id="rId2"/>
    <sheet name="99 (март)" sheetId="3" r:id="rId3"/>
    <sheet name="99 (апрель)" sheetId="4" r:id="rId4"/>
    <sheet name="99 (май)" sheetId="5" r:id="rId5"/>
    <sheet name="99 (июнь)" sheetId="6" r:id="rId6"/>
    <sheet name="99 (июль)" sheetId="7" r:id="rId7"/>
    <sheet name="99 (август)" sheetId="8" r:id="rId8"/>
    <sheet name="99 (сентябрь)" sheetId="9" r:id="rId9"/>
    <sheet name="99 (октябрь)" sheetId="10" r:id="rId10"/>
    <sheet name="99 (ноябрь)" sheetId="11" r:id="rId11"/>
    <sheet name="99 (декабрь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3 тонн* 0,0478= 0,1434 Гкал/ч.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Спортзал нагрев доначислется 5 тонн*0,1058=0,529 Гкал.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Спортзал нагрев доначислется 4 тонн*0,1159=0,4636Гкал.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5 тонн* 0,0478= 0,239 Гкал/ч.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5 тонн* 0,0478= 0,239 Гкал/ч.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5 тонн* 0,0478= 0,239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6 тонн* 0,0802= 0,4812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6 тонн* 0,0478= 0,2868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4 тонн* 0,0478= 0,1912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4 тонн* 0,0349= 0,1396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 Спортзал нагрев доначисляется 43тонн* 0,0439= 0,1317
 Гкал/ч.
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Артемон</t>
        </r>
      </text>
    </comment>
  </commentList>
</comments>
</file>

<file path=xl/sharedStrings.xml><?xml version="1.0" encoding="utf-8"?>
<sst xmlns="http://schemas.openxmlformats.org/spreadsheetml/2006/main" count="209" uniqueCount="40">
  <si>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</si>
  <si>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</si>
  <si>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</si>
  <si>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</si>
  <si>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</si>
  <si>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Репина 99</t>
  </si>
  <si>
    <t>ГВС (тонн)</t>
  </si>
  <si>
    <t>водоотведение(тонн)</t>
  </si>
  <si>
    <t>итого по эл.эн.</t>
  </si>
  <si>
    <t xml:space="preserve">начисление сторонним потребителям </t>
  </si>
  <si>
    <t xml:space="preserve">начисление по индивидуальным приборам учета и нормативу </t>
  </si>
  <si>
    <t xml:space="preserve">объем потребления 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</si>
  <si>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</si>
  <si>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</si>
  <si>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</si>
  <si>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</si>
  <si>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</si>
  <si>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117372,/118448</t>
  </si>
  <si>
    <t>Объем коммунальных услуг по показаниям общедомовых приборов учета (ОДН) за февраль в марте 2016г.</t>
  </si>
  <si>
    <t>118448,/119521</t>
  </si>
  <si>
    <t>Объем коммунальных услуг по показаниям общедомовых приборов учета (ОДН) за март в апреле 2016г.</t>
  </si>
  <si>
    <t>119521,/120598</t>
  </si>
  <si>
    <t>Объем коммунальных услуг по показаниям общедомовых приборов учета (ОДН) за апрель в мае 2016г.</t>
  </si>
  <si>
    <t>120598,/121610</t>
  </si>
  <si>
    <t>Объем коммунальных услуг по показаниям общедомовых приборов учета (ОДН) за май в июне 2016г.</t>
  </si>
  <si>
    <t>121610,/122568</t>
  </si>
  <si>
    <t>Объем коммунальных услуг по показаниям общедомовых приборов учета (ОДН) за июнь в июле 2016г.</t>
  </si>
  <si>
    <t>122568,/123547</t>
  </si>
  <si>
    <t>Объем коммунальных услуг по показаниям общедомовых приборов учета (ОДН) за июль в августе 2016г.</t>
  </si>
  <si>
    <t>123547,/124436</t>
  </si>
  <si>
    <t>Объем коммунальных услуг по показаниям общедомовых приборов учета (ОДН) за август в сентябре 2016г.</t>
  </si>
  <si>
    <t>124436,/125397</t>
  </si>
  <si>
    <t>Объем коммунальных услуг по показаниям общедомовых приборов учета (ОДН) за сентябрь в октябре 2016г.</t>
  </si>
  <si>
    <t>125397,/126362</t>
  </si>
  <si>
    <t>Объем коммунальных услуг по показаниям общедомовых приборов учета (ОДН) за октябрь в ноябре 2016г.</t>
  </si>
  <si>
    <t>126362 /127286</t>
  </si>
  <si>
    <t>Объем коммунальных услуг по показаниям общедомовых приборов учета (ОДН) за ноябрь в декабре 2016г.</t>
  </si>
  <si>
    <t>127286,/128315</t>
  </si>
  <si>
    <t>Объем коммунальных услуг по показаниям общедомовых приборов учета (ОДН) за декабрь в январе 2017г.</t>
  </si>
  <si>
    <t>128315,/129356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</si>
</sst>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"/>
    <numFmt numFmtId="181" formatCode="#,##0.00000"/>
    <numFmt numFmtId="182" formatCode="#,##0.000000"/>
    <numFmt numFmtId="183" formatCode="#,##0.000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79" fontId="0" fillId="24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8" sqref="F8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16</v>
      </c>
      <c r="C3" s="6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74.22</f>
        <v>74.22</v>
      </c>
      <c r="E7" s="9">
        <f>E8*0.0478+0.0021</f>
        <v>35.2417896</v>
      </c>
      <c r="F7" s="14">
        <f>1.54+0.1912</f>
        <v>1.7312</v>
      </c>
      <c r="G7" s="15">
        <f>26.1506*0.0478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564.5</f>
        <v>564.5</v>
      </c>
      <c r="E8" s="15">
        <f>493.68-140.8+355.662+28.69</f>
        <v>737.232</v>
      </c>
      <c r="F8" s="15">
        <f>11.34+4</f>
        <v>15.34</v>
      </c>
      <c r="G8" s="15">
        <f>D8-E8-F8+15.954</f>
        <v>-172.11799999999997</v>
      </c>
      <c r="H8" s="4">
        <f t="shared" si="0"/>
        <v>-0.020540366370308486</v>
      </c>
      <c r="J8" s="5"/>
    </row>
    <row r="9" spans="1:10" ht="15">
      <c r="A9" s="1">
        <v>3</v>
      </c>
      <c r="B9" s="2" t="s">
        <v>12</v>
      </c>
      <c r="C9" s="3" t="s">
        <v>17</v>
      </c>
      <c r="D9" s="3">
        <f>118448-117372</f>
        <v>1076</v>
      </c>
      <c r="E9" s="15">
        <f>298.76-85.36+567.65+12.19</f>
        <v>793.24</v>
      </c>
      <c r="F9" s="15">
        <f>44</f>
        <v>44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1640.5</v>
      </c>
      <c r="E10" s="15">
        <f>389.84+766.272+88.16+275.81+10.39</f>
        <v>1530.4720000000002</v>
      </c>
      <c r="F10" s="15">
        <f>F8+F9</f>
        <v>59.34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18557</f>
        <v>18557</v>
      </c>
      <c r="E11" s="15">
        <f>18113-824</f>
        <v>17289</v>
      </c>
      <c r="F11" s="15">
        <f>1499</f>
        <v>1499</v>
      </c>
      <c r="G11" s="15">
        <f>D11-E11-F11+0.0005</f>
        <v>-230.9995</v>
      </c>
      <c r="H11" s="4">
        <f t="shared" si="0"/>
        <v>-0.027567217614416138</v>
      </c>
    </row>
    <row r="12" spans="1:8" ht="15">
      <c r="A12" s="25"/>
      <c r="B12" s="13" t="s">
        <v>15</v>
      </c>
      <c r="C12" s="3"/>
      <c r="D12" s="12">
        <f>24518</f>
        <v>24518</v>
      </c>
      <c r="E12" s="15">
        <f>11167</f>
        <v>11167</v>
      </c>
      <c r="F12" s="15">
        <f>726</f>
        <v>726</v>
      </c>
      <c r="G12" s="15">
        <f>9570.5+0.0007</f>
        <v>9570.5007</v>
      </c>
      <c r="H12" s="4">
        <f t="shared" si="0"/>
        <v>1.1421326690136644</v>
      </c>
    </row>
    <row r="13" spans="1:8" ht="15">
      <c r="A13" s="26"/>
      <c r="B13" s="10" t="s">
        <v>8</v>
      </c>
      <c r="C13" s="10"/>
      <c r="D13" s="11">
        <f>SUM(D11:D12)</f>
        <v>43075</v>
      </c>
      <c r="E13" s="16">
        <f>SUM(E11:E12)</f>
        <v>28456</v>
      </c>
      <c r="F13" s="16">
        <f>SUM(F11:F12)</f>
        <v>2225</v>
      </c>
      <c r="G13" s="16">
        <f>SUM(G11:G12)</f>
        <v>9339.5012</v>
      </c>
      <c r="H13" s="4">
        <f t="shared" si="0"/>
        <v>1.1145654513992482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4" sqref="F14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34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.75">
      <c r="A7" s="7">
        <v>1</v>
      </c>
      <c r="B7" s="8" t="s">
        <v>13</v>
      </c>
      <c r="C7" s="19"/>
      <c r="D7" s="20">
        <v>67.97</v>
      </c>
      <c r="E7" s="20">
        <f>33.5057+34.0506-9.57304+0.0003</f>
        <v>57.98356</v>
      </c>
      <c r="F7" s="21">
        <v>1.802</v>
      </c>
      <c r="G7" s="3">
        <f>26.1506*0.1105+0.0002</f>
        <v>2.8898413</v>
      </c>
      <c r="H7" s="4">
        <f>G7/8379.5</f>
        <v>0.0003448703741273346</v>
      </c>
      <c r="J7" s="5"/>
    </row>
    <row r="8" spans="1:10" ht="15">
      <c r="A8" s="1">
        <v>2</v>
      </c>
      <c r="B8" s="2" t="s">
        <v>6</v>
      </c>
      <c r="C8" s="4"/>
      <c r="D8" s="22">
        <v>611.7</v>
      </c>
      <c r="E8" s="23">
        <f>302.94+308.15-86.4</f>
        <v>524.6899999999999</v>
      </c>
      <c r="F8" s="15">
        <v>16.31</v>
      </c>
      <c r="G8" s="3">
        <f>26.1506</f>
        <v>26.1506</v>
      </c>
      <c r="H8" s="4">
        <f aca="true" t="shared" si="0" ref="H8:H13">G8/8379.5</f>
        <v>0.0031207828629393163</v>
      </c>
      <c r="J8" s="5"/>
    </row>
    <row r="9" spans="1:10" ht="15">
      <c r="A9" s="1">
        <v>3</v>
      </c>
      <c r="B9" s="2" t="s">
        <v>12</v>
      </c>
      <c r="C9" s="3" t="s">
        <v>35</v>
      </c>
      <c r="D9" s="3">
        <f>127286-126362</f>
        <v>924</v>
      </c>
      <c r="E9" s="11">
        <f>230.86+578.6-65.96</f>
        <v>743.5</v>
      </c>
      <c r="F9" s="15">
        <v>57</v>
      </c>
      <c r="G9" s="3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11">
        <f>D8+D9</f>
        <v>1535.7</v>
      </c>
      <c r="E10" s="3">
        <f>421.6+799.9+199.05-152.36</f>
        <v>1268.19</v>
      </c>
      <c r="F10" s="15">
        <f>F8+F9</f>
        <v>73.31</v>
      </c>
      <c r="G10" s="3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4">
        <f>15854+1</f>
        <v>15855</v>
      </c>
      <c r="E11" s="3">
        <f>21358-4654-102</f>
        <v>16602</v>
      </c>
      <c r="F11" s="3">
        <v>666</v>
      </c>
      <c r="G11" s="3">
        <f>D11-E11-F11</f>
        <v>-1413</v>
      </c>
      <c r="H11" s="4">
        <f t="shared" si="0"/>
        <v>-0.16862581299600216</v>
      </c>
    </row>
    <row r="12" spans="1:8" ht="15">
      <c r="A12" s="25"/>
      <c r="B12" s="13" t="s">
        <v>15</v>
      </c>
      <c r="C12" s="3"/>
      <c r="D12" s="4">
        <f>13132</f>
        <v>13132</v>
      </c>
      <c r="E12" s="3">
        <v>7955</v>
      </c>
      <c r="F12" s="3">
        <v>250</v>
      </c>
      <c r="G12" s="3">
        <f>D12-E12-F12+0.0003</f>
        <v>4927.0003</v>
      </c>
      <c r="H12" s="4">
        <f t="shared" si="0"/>
        <v>0.5879826123277044</v>
      </c>
    </row>
    <row r="13" spans="1:8" ht="15">
      <c r="A13" s="26"/>
      <c r="B13" s="10" t="s">
        <v>8</v>
      </c>
      <c r="C13" s="10"/>
      <c r="D13" s="11">
        <f>SUM(D11:D12)</f>
        <v>28987</v>
      </c>
      <c r="E13" s="11">
        <f>SUM(E11:E12)</f>
        <v>24557</v>
      </c>
      <c r="F13" s="11">
        <f>SUM(F11:F12)</f>
        <v>916</v>
      </c>
      <c r="G13" s="11">
        <f>SUM(G11:G12)</f>
        <v>3514.0002999999997</v>
      </c>
      <c r="H13" s="4">
        <f t="shared" si="0"/>
        <v>0.41935679933170233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5" sqref="A5:A6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36</v>
      </c>
      <c r="C3" s="6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.75">
      <c r="A7" s="7">
        <v>1</v>
      </c>
      <c r="B7" s="8" t="s">
        <v>13</v>
      </c>
      <c r="C7" s="19"/>
      <c r="D7" s="20">
        <f>69.56</f>
        <v>69.56</v>
      </c>
      <c r="E7" s="20">
        <f>32.06-9.159969+46.7752-0.0005</f>
        <v>69.674731</v>
      </c>
      <c r="F7" s="21">
        <f>1.45+0.529</f>
        <v>1.979</v>
      </c>
      <c r="G7" s="3">
        <f>D7-E7-F7+0.1555</f>
        <v>-1.938230999999992</v>
      </c>
      <c r="H7" s="4">
        <f>G7/8379.1</f>
        <v>-0.00023131732524972752</v>
      </c>
      <c r="J7" s="5"/>
    </row>
    <row r="8" spans="1:10" ht="15">
      <c r="A8" s="1">
        <v>2</v>
      </c>
      <c r="B8" s="2" t="s">
        <v>6</v>
      </c>
      <c r="C8" s="4"/>
      <c r="D8" s="22">
        <f>681</f>
        <v>681</v>
      </c>
      <c r="E8" s="23">
        <f>302.94-86.4+442.11</f>
        <v>658.65</v>
      </c>
      <c r="F8" s="15">
        <f>13.71+5</f>
        <v>18.71</v>
      </c>
      <c r="G8" s="3">
        <f>D8-E8-F8+0.0001</f>
        <v>3.640100000000022</v>
      </c>
      <c r="H8" s="4">
        <f aca="true" t="shared" si="0" ref="H8:H13">G8/8379.1</f>
        <v>0.00043442613168478977</v>
      </c>
      <c r="J8" s="5"/>
    </row>
    <row r="9" spans="1:10" ht="15">
      <c r="A9" s="1">
        <v>3</v>
      </c>
      <c r="B9" s="2" t="s">
        <v>12</v>
      </c>
      <c r="C9" s="3" t="s">
        <v>37</v>
      </c>
      <c r="D9" s="3">
        <f>128315-127286</f>
        <v>1029</v>
      </c>
      <c r="E9" s="11">
        <f>230.86-65.96+511.03</f>
        <v>675.9300000000001</v>
      </c>
      <c r="F9" s="15">
        <f>56</f>
        <v>56</v>
      </c>
      <c r="G9" s="3">
        <f>26.1506-0.0005</f>
        <v>26.150100000000002</v>
      </c>
      <c r="H9" s="4">
        <f t="shared" si="0"/>
        <v>0.0031208721700421286</v>
      </c>
      <c r="J9" s="5"/>
    </row>
    <row r="10" spans="1:8" ht="15">
      <c r="A10" s="1">
        <v>4</v>
      </c>
      <c r="B10" s="2" t="s">
        <v>7</v>
      </c>
      <c r="C10" s="3"/>
      <c r="D10" s="11">
        <f>D8+D9</f>
        <v>1710</v>
      </c>
      <c r="E10" s="3">
        <f>421.6-120.36+992.83+72.51-32</f>
        <v>1334.5800000000002</v>
      </c>
      <c r="F10" s="15">
        <f>F8+F9</f>
        <v>74.71000000000001</v>
      </c>
      <c r="G10" s="3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4">
        <f>16217+1</f>
        <v>16218</v>
      </c>
      <c r="E11" s="3">
        <f>21324-2258-102</f>
        <v>18964</v>
      </c>
      <c r="F11" s="3">
        <f>1+1028</f>
        <v>1029</v>
      </c>
      <c r="G11" s="3">
        <f>D11-E11-F11-0.0008</f>
        <v>-3775.0008</v>
      </c>
      <c r="H11" s="4">
        <f t="shared" si="0"/>
        <v>-0.4505258082610304</v>
      </c>
    </row>
    <row r="12" spans="1:8" ht="15">
      <c r="A12" s="25"/>
      <c r="B12" s="13" t="s">
        <v>15</v>
      </c>
      <c r="C12" s="3"/>
      <c r="D12" s="4">
        <f>17718</f>
        <v>17718</v>
      </c>
      <c r="E12" s="3">
        <f>10562</f>
        <v>10562</v>
      </c>
      <c r="F12" s="3">
        <f>698</f>
        <v>698</v>
      </c>
      <c r="G12" s="3">
        <f>D12-E12-F12+0.0001</f>
        <v>6458.0001</v>
      </c>
      <c r="H12" s="4">
        <f t="shared" si="0"/>
        <v>0.7707271783365756</v>
      </c>
    </row>
    <row r="13" spans="1:8" ht="15">
      <c r="A13" s="26"/>
      <c r="B13" s="10" t="s">
        <v>8</v>
      </c>
      <c r="C13" s="10"/>
      <c r="D13" s="11">
        <f>SUM(D11:D12)</f>
        <v>33936</v>
      </c>
      <c r="E13" s="11">
        <f>SUM(E11:E12)</f>
        <v>29526</v>
      </c>
      <c r="F13" s="11">
        <f>SUM(F11:F12)</f>
        <v>1727</v>
      </c>
      <c r="G13" s="11">
        <f>SUM(G11:G12)</f>
        <v>2682.9993000000004</v>
      </c>
      <c r="H13" s="4">
        <f t="shared" si="0"/>
        <v>0.32020137007554517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38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.75">
      <c r="A7" s="7">
        <v>1</v>
      </c>
      <c r="B7" s="8" t="s">
        <v>13</v>
      </c>
      <c r="C7" s="19"/>
      <c r="D7" s="20">
        <f>78.21</f>
        <v>78.21</v>
      </c>
      <c r="E7" s="20">
        <f>39.0333+48.0208-13.011134+0.0008</f>
        <v>74.043766</v>
      </c>
      <c r="F7" s="21">
        <f>1.63+0.4636</f>
        <v>2.0936</v>
      </c>
      <c r="G7" s="15">
        <f>D7-E7-F7+0.0003</f>
        <v>2.072933999999989</v>
      </c>
      <c r="H7" s="4">
        <f aca="true" t="shared" si="0" ref="H7:H13">G7/8379.1</f>
        <v>0.00024739339547206606</v>
      </c>
      <c r="J7" s="5"/>
    </row>
    <row r="8" spans="1:10" ht="15">
      <c r="A8" s="1">
        <v>2</v>
      </c>
      <c r="B8" s="2" t="s">
        <v>6</v>
      </c>
      <c r="C8" s="4"/>
      <c r="D8" s="22">
        <f>699.2</f>
        <v>699.2</v>
      </c>
      <c r="E8" s="23">
        <f>336.56+414.33-112</f>
        <v>638.89</v>
      </c>
      <c r="F8" s="3">
        <f>14.1+4</f>
        <v>18.1</v>
      </c>
      <c r="G8" s="3">
        <f>26.1506-0.0005</f>
        <v>26.150100000000002</v>
      </c>
      <c r="H8" s="4">
        <f t="shared" si="0"/>
        <v>0.0031208721700421286</v>
      </c>
      <c r="J8" s="5"/>
    </row>
    <row r="9" spans="1:10" ht="15">
      <c r="A9" s="1">
        <v>3</v>
      </c>
      <c r="B9" s="2" t="s">
        <v>12</v>
      </c>
      <c r="C9" s="3" t="s">
        <v>39</v>
      </c>
      <c r="D9" s="3">
        <f>129356-128315</f>
        <v>1041</v>
      </c>
      <c r="E9" s="11">
        <f>261.72+724.22-87.12</f>
        <v>898.82</v>
      </c>
      <c r="F9" s="3">
        <f>55</f>
        <v>55</v>
      </c>
      <c r="G9" s="3">
        <f>26.1506-0.0005</f>
        <v>26.150100000000002</v>
      </c>
      <c r="H9" s="4">
        <f t="shared" si="0"/>
        <v>0.0031208721700421286</v>
      </c>
      <c r="J9" s="5"/>
    </row>
    <row r="10" spans="1:8" ht="15">
      <c r="A10" s="1">
        <v>4</v>
      </c>
      <c r="B10" s="2" t="s">
        <v>7</v>
      </c>
      <c r="C10" s="3"/>
      <c r="D10" s="11">
        <f>D8+D9</f>
        <v>1740.2</v>
      </c>
      <c r="E10" s="3">
        <f>478.08+1054.91+203.84-159.12-40</f>
        <v>1537.71</v>
      </c>
      <c r="F10" s="15">
        <f>F8+F9</f>
        <v>73.1</v>
      </c>
      <c r="G10" s="3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4">
        <f>14390+1</f>
        <v>14391</v>
      </c>
      <c r="E11" s="3">
        <f>14734-4350-128</f>
        <v>10256</v>
      </c>
      <c r="F11" s="3">
        <f>935</f>
        <v>935</v>
      </c>
      <c r="G11" s="3">
        <f>D11-E11-F11-0.0007</f>
        <v>3199.9993</v>
      </c>
      <c r="H11" s="4">
        <f t="shared" si="0"/>
        <v>0.3819025074291988</v>
      </c>
    </row>
    <row r="12" spans="1:8" ht="15">
      <c r="A12" s="25"/>
      <c r="B12" s="13" t="s">
        <v>15</v>
      </c>
      <c r="C12" s="3"/>
      <c r="D12" s="4">
        <f>11623</f>
        <v>11623</v>
      </c>
      <c r="E12" s="3">
        <f>10282</f>
        <v>10282</v>
      </c>
      <c r="F12" s="3">
        <f>554</f>
        <v>554</v>
      </c>
      <c r="G12" s="3">
        <f>D12-E12-F12-0.0005</f>
        <v>786.9995</v>
      </c>
      <c r="H12" s="4">
        <f>G12/8379.1</f>
        <v>0.0939241087945006</v>
      </c>
    </row>
    <row r="13" spans="1:8" ht="15">
      <c r="A13" s="26"/>
      <c r="B13" s="10" t="s">
        <v>8</v>
      </c>
      <c r="C13" s="10"/>
      <c r="D13" s="11">
        <f>SUM(D11:D12)</f>
        <v>26014</v>
      </c>
      <c r="E13" s="11">
        <f>SUM(E11:E12)</f>
        <v>20538</v>
      </c>
      <c r="F13" s="11">
        <f>SUM(F11:F12)</f>
        <v>1489</v>
      </c>
      <c r="G13" s="11">
        <f>SUM(G11:G12)</f>
        <v>3986.9988</v>
      </c>
      <c r="H13" s="4">
        <f t="shared" si="0"/>
        <v>0.47582661622369943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9" sqref="E9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18</v>
      </c>
      <c r="C3" s="6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64.61</f>
        <v>64.61</v>
      </c>
      <c r="E7" s="9">
        <f>E8*0.0478+0.0024</f>
        <v>30.7381970268</v>
      </c>
      <c r="F7" s="14">
        <f>1.35+0.239</f>
        <v>1.589</v>
      </c>
      <c r="G7" s="15">
        <f>26.1506*0.0478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477.9</f>
        <v>477.9</v>
      </c>
      <c r="E8" s="15">
        <f>490.7845-139.974194+247.688+44.51</f>
        <v>643.008306</v>
      </c>
      <c r="F8" s="15">
        <f>9.68+5</f>
        <v>14.68</v>
      </c>
      <c r="G8" s="15">
        <f>D8-E8-F8+18.1997</f>
        <v>-161.58860599999997</v>
      </c>
      <c r="H8" s="4">
        <f t="shared" si="0"/>
        <v>-0.019283800465421563</v>
      </c>
      <c r="J8" s="5"/>
    </row>
    <row r="9" spans="1:10" ht="15">
      <c r="A9" s="1">
        <v>3</v>
      </c>
      <c r="B9" s="2" t="s">
        <v>12</v>
      </c>
      <c r="C9" s="3" t="s">
        <v>19</v>
      </c>
      <c r="D9" s="3">
        <f>119521-118448</f>
        <v>1073</v>
      </c>
      <c r="E9" s="15">
        <f>295.2555-84.35871+584.78+107.21</f>
        <v>902.88679</v>
      </c>
      <c r="F9" s="15">
        <f>37.79+1.21</f>
        <v>39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1550.9</v>
      </c>
      <c r="E10" s="15">
        <f>385.2671+659.718+201.59+285.43+13.89</f>
        <v>1545.8951</v>
      </c>
      <c r="F10" s="15">
        <f>F8+F9</f>
        <v>53.68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17491</f>
        <v>17491</v>
      </c>
      <c r="E11" s="15">
        <f>16365-1485</f>
        <v>14880</v>
      </c>
      <c r="F11" s="15">
        <f>1535</f>
        <v>1535</v>
      </c>
      <c r="G11" s="15">
        <f>D11-E11-F11-0.0004</f>
        <v>1075.9996</v>
      </c>
      <c r="H11" s="4">
        <f t="shared" si="0"/>
        <v>0.1284085685303419</v>
      </c>
    </row>
    <row r="12" spans="1:8" ht="15">
      <c r="A12" s="25"/>
      <c r="B12" s="13" t="s">
        <v>15</v>
      </c>
      <c r="C12" s="3"/>
      <c r="D12" s="12">
        <f>15040</f>
        <v>15040</v>
      </c>
      <c r="E12" s="15">
        <f>12397</f>
        <v>12397</v>
      </c>
      <c r="F12" s="15">
        <f>615</f>
        <v>615</v>
      </c>
      <c r="G12" s="15">
        <f>D12-E12-F12-0.0003</f>
        <v>2027.9997</v>
      </c>
      <c r="H12" s="4">
        <f t="shared" si="0"/>
        <v>0.24201917775523601</v>
      </c>
    </row>
    <row r="13" spans="1:8" ht="15">
      <c r="A13" s="26"/>
      <c r="B13" s="10" t="s">
        <v>8</v>
      </c>
      <c r="C13" s="10"/>
      <c r="D13" s="11">
        <f>SUM(D11:D12)</f>
        <v>32531</v>
      </c>
      <c r="E13" s="16">
        <f>SUM(E11:E12)</f>
        <v>27277</v>
      </c>
      <c r="F13" s="16">
        <f>SUM(F11:F12)</f>
        <v>2150</v>
      </c>
      <c r="G13" s="16">
        <f>SUM(G11:G12)</f>
        <v>3103.9993000000004</v>
      </c>
      <c r="H13" s="4">
        <f t="shared" si="0"/>
        <v>0.37042774628557795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20</v>
      </c>
      <c r="C3" s="6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69.23</f>
        <v>69.23</v>
      </c>
      <c r="E7" s="9">
        <f>E8*0.0478+0.0025</f>
        <v>33.683718400000004</v>
      </c>
      <c r="F7" s="14">
        <f>0.239+1.43</f>
        <v>1.669</v>
      </c>
      <c r="G7" s="15">
        <f>26.1506*0.0478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515.9</f>
        <v>515.9</v>
      </c>
      <c r="E8" s="15">
        <f>464.508-132.48+356.35+16.25</f>
        <v>704.628</v>
      </c>
      <c r="F8" s="15">
        <f>15.45</f>
        <v>15.45</v>
      </c>
      <c r="G8" s="15">
        <f>D8-E8-F8+22.1999</f>
        <v>-181.97810000000004</v>
      </c>
      <c r="H8" s="4">
        <f t="shared" si="0"/>
        <v>-0.02171705949042306</v>
      </c>
      <c r="J8" s="5"/>
    </row>
    <row r="9" spans="1:10" ht="15">
      <c r="A9" s="1">
        <v>3</v>
      </c>
      <c r="B9" s="2" t="s">
        <v>12</v>
      </c>
      <c r="C9" s="3" t="s">
        <v>21</v>
      </c>
      <c r="D9" s="3">
        <f>120598-119521</f>
        <v>1077</v>
      </c>
      <c r="E9" s="15">
        <f>271.6-77.6+636.13+71.32</f>
        <v>901.45</v>
      </c>
      <c r="F9" s="15">
        <f>25</f>
        <v>25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1592.9</v>
      </c>
      <c r="E10" s="15">
        <f>354.4+796.48+104.76+273.868+76.57</f>
        <v>1606.078</v>
      </c>
      <c r="F10" s="15">
        <f>F8+F9</f>
        <v>40.45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14015</f>
        <v>14015</v>
      </c>
      <c r="E11" s="15">
        <f>17238</f>
        <v>17238</v>
      </c>
      <c r="F11" s="15">
        <f>1294</f>
        <v>1294</v>
      </c>
      <c r="G11" s="15">
        <f>D11-E11-F11-0.0005</f>
        <v>-4517.0005</v>
      </c>
      <c r="H11" s="4">
        <f t="shared" si="0"/>
        <v>-0.5390537024882153</v>
      </c>
    </row>
    <row r="12" spans="1:8" ht="15">
      <c r="A12" s="25"/>
      <c r="B12" s="13" t="s">
        <v>15</v>
      </c>
      <c r="C12" s="3"/>
      <c r="D12" s="12">
        <f>17558</f>
        <v>17558</v>
      </c>
      <c r="E12" s="15">
        <f>9740</f>
        <v>9740</v>
      </c>
      <c r="F12" s="15">
        <f>385</f>
        <v>385</v>
      </c>
      <c r="G12" s="15">
        <f>D12-E12-F12-0.0002</f>
        <v>7432.9998</v>
      </c>
      <c r="H12" s="4">
        <f t="shared" si="0"/>
        <v>0.8870457425860732</v>
      </c>
    </row>
    <row r="13" spans="1:8" ht="15">
      <c r="A13" s="26"/>
      <c r="B13" s="10" t="s">
        <v>8</v>
      </c>
      <c r="C13" s="10"/>
      <c r="D13" s="11">
        <f>SUM(D11:D12)</f>
        <v>31573</v>
      </c>
      <c r="E13" s="16">
        <f>SUM(E11:E12)</f>
        <v>26978</v>
      </c>
      <c r="F13" s="16">
        <f>SUM(F11:F12)</f>
        <v>1679</v>
      </c>
      <c r="G13" s="16">
        <f>SUM(G11:G12)</f>
        <v>2915.9992999999995</v>
      </c>
      <c r="H13" s="4">
        <f t="shared" si="0"/>
        <v>0.3479920400978578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22</v>
      </c>
      <c r="C3" s="6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61.2</f>
        <v>61.2</v>
      </c>
      <c r="E7" s="9">
        <f>E8*0.0478+0.002042</f>
        <v>30.216899999999995</v>
      </c>
      <c r="F7" s="17">
        <f>1.25+0.239</f>
        <v>1.4889999999999999</v>
      </c>
      <c r="G7" s="15">
        <f>26.1506*0.0478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473.9</f>
        <v>473.9</v>
      </c>
      <c r="E8" s="15">
        <f>437.58-124.8+304.05+15.28</f>
        <v>632.1099999999999</v>
      </c>
      <c r="F8" s="15">
        <f>9.6+5</f>
        <v>14.6</v>
      </c>
      <c r="G8" s="15">
        <f>D8-E8-F8+22.3225</f>
        <v>-150.48749999999993</v>
      </c>
      <c r="H8" s="4">
        <f t="shared" si="0"/>
        <v>-0.01795900710066232</v>
      </c>
      <c r="J8" s="5"/>
    </row>
    <row r="9" spans="1:10" ht="15">
      <c r="A9" s="1">
        <v>3</v>
      </c>
      <c r="B9" s="2" t="s">
        <v>12</v>
      </c>
      <c r="C9" s="3" t="s">
        <v>23</v>
      </c>
      <c r="D9" s="3">
        <f>121610-120598</f>
        <v>1012</v>
      </c>
      <c r="E9" s="15">
        <f>271.6-77.6+682.19+54.14</f>
        <v>930.33</v>
      </c>
      <c r="F9" s="15">
        <f>46.79+0.21</f>
        <v>47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1485.9</v>
      </c>
      <c r="E10" s="15">
        <f>354.4+817.51+111.6+255.78+23.15</f>
        <v>1562.4399999999998</v>
      </c>
      <c r="F10" s="15">
        <f>F8+F9</f>
        <v>61.6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16444+1</f>
        <v>16445</v>
      </c>
      <c r="E11" s="15">
        <f>16376-297</f>
        <v>16079</v>
      </c>
      <c r="F11" s="15">
        <f>988</f>
        <v>988</v>
      </c>
      <c r="G11" s="15">
        <f>D11-E11-F11-0.0001</f>
        <v>-622.0001</v>
      </c>
      <c r="H11" s="4">
        <f t="shared" si="0"/>
        <v>-0.0742287845336834</v>
      </c>
    </row>
    <row r="12" spans="1:8" ht="15">
      <c r="A12" s="25"/>
      <c r="B12" s="13" t="s">
        <v>15</v>
      </c>
      <c r="C12" s="3"/>
      <c r="D12" s="12">
        <f>13831</f>
        <v>13831</v>
      </c>
      <c r="E12" s="15">
        <f>9963</f>
        <v>9963</v>
      </c>
      <c r="F12" s="15">
        <f>247</f>
        <v>247</v>
      </c>
      <c r="G12" s="15">
        <f>D12-E12-F12-0.0001</f>
        <v>3620.9999</v>
      </c>
      <c r="H12" s="4">
        <f t="shared" si="0"/>
        <v>0.43212600990512556</v>
      </c>
    </row>
    <row r="13" spans="1:8" ht="15">
      <c r="A13" s="26"/>
      <c r="B13" s="10" t="s">
        <v>8</v>
      </c>
      <c r="C13" s="10"/>
      <c r="D13" s="11">
        <f>SUM(D11:D12)</f>
        <v>30276</v>
      </c>
      <c r="E13" s="16">
        <f>SUM(E11:E12)</f>
        <v>26042</v>
      </c>
      <c r="F13" s="16">
        <f>SUM(F11:F12)</f>
        <v>1235</v>
      </c>
      <c r="G13" s="16">
        <f>SUM(G11:G12)</f>
        <v>2998.9997999999996</v>
      </c>
      <c r="H13" s="4">
        <f t="shared" si="0"/>
        <v>0.35789722537144214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7" sqref="F7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24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45.78</f>
        <v>45.78</v>
      </c>
      <c r="E7" s="9">
        <f>35.102-10.029123+25.5774+1.62+0.0003</f>
        <v>52.270577</v>
      </c>
      <c r="F7" s="14">
        <f>0.83+0.4812</f>
        <v>1.3112</v>
      </c>
      <c r="G7" s="15">
        <f>D7-E7-F7+0.0006+0.4621</f>
        <v>-7.3390770000000005</v>
      </c>
      <c r="H7" s="4">
        <f aca="true" t="shared" si="0" ref="H7:H13">G7/8379.5</f>
        <v>-0.0008758371024524137</v>
      </c>
      <c r="J7" s="5"/>
    </row>
    <row r="8" spans="1:10" ht="15">
      <c r="A8" s="1">
        <v>2</v>
      </c>
      <c r="B8" s="2" t="s">
        <v>6</v>
      </c>
      <c r="C8" s="4"/>
      <c r="D8" s="4">
        <f>522.5</f>
        <v>522.5</v>
      </c>
      <c r="E8" s="15">
        <f>437.58-124.8+318.92+20.2</f>
        <v>651.9000000000001</v>
      </c>
      <c r="F8" s="15">
        <f>10.4+6</f>
        <v>16.4</v>
      </c>
      <c r="G8" s="15">
        <f>D8-E8-F8+10.1716</f>
        <v>-135.62840000000008</v>
      </c>
      <c r="H8" s="4">
        <f t="shared" si="0"/>
        <v>-0.016185739005907283</v>
      </c>
      <c r="J8" s="5"/>
    </row>
    <row r="9" spans="1:10" ht="15">
      <c r="A9" s="1">
        <v>3</v>
      </c>
      <c r="B9" s="2" t="s">
        <v>12</v>
      </c>
      <c r="C9" s="3" t="s">
        <v>25</v>
      </c>
      <c r="D9" s="3">
        <f>122568-121610</f>
        <v>958</v>
      </c>
      <c r="E9" s="15">
        <f>271.6-77.6+656.67+32.23</f>
        <v>882.9</v>
      </c>
      <c r="F9" s="15">
        <f>42</f>
        <v>42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1480.5</v>
      </c>
      <c r="E10" s="15">
        <f>354.4+800.15+136.2+229.57+14.48</f>
        <v>1534.8</v>
      </c>
      <c r="F10" s="15">
        <f>F8+F9</f>
        <v>58.4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13022+1</f>
        <v>13023</v>
      </c>
      <c r="E11" s="15">
        <f>14461-2588</f>
        <v>11873</v>
      </c>
      <c r="F11" s="15">
        <f>1090</f>
        <v>1090</v>
      </c>
      <c r="G11" s="15">
        <f>D11-E11-F11-0.0002</f>
        <v>59.9998</v>
      </c>
      <c r="H11" s="4">
        <f t="shared" si="0"/>
        <v>0.007160307894265768</v>
      </c>
    </row>
    <row r="12" spans="1:8" ht="15">
      <c r="A12" s="25"/>
      <c r="B12" s="13" t="s">
        <v>15</v>
      </c>
      <c r="C12" s="3"/>
      <c r="D12" s="12">
        <f>12969</f>
        <v>12969</v>
      </c>
      <c r="E12" s="15">
        <f>10435</f>
        <v>10435</v>
      </c>
      <c r="F12" s="15">
        <f>211</f>
        <v>211</v>
      </c>
      <c r="G12" s="15">
        <f>D12-E12-F12</f>
        <v>2323</v>
      </c>
      <c r="H12" s="4">
        <f t="shared" si="0"/>
        <v>0.2772241780535831</v>
      </c>
    </row>
    <row r="13" spans="1:8" ht="15">
      <c r="A13" s="26"/>
      <c r="B13" s="10" t="s">
        <v>8</v>
      </c>
      <c r="C13" s="10"/>
      <c r="D13" s="11">
        <f>SUM(D11:D12)</f>
        <v>25992</v>
      </c>
      <c r="E13" s="16">
        <f>SUM(E11:E12)</f>
        <v>22308</v>
      </c>
      <c r="F13" s="16">
        <f>SUM(F11:F12)</f>
        <v>1301</v>
      </c>
      <c r="G13" s="16">
        <f>SUM(G11:G12)</f>
        <v>2382.9998</v>
      </c>
      <c r="H13" s="4">
        <f t="shared" si="0"/>
        <v>0.28438448594784893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26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44.66</f>
        <v>44.66</v>
      </c>
      <c r="E7" s="9">
        <f>20.7042-6.901359+16.4781+1.0875-0.0002</f>
        <v>31.368241</v>
      </c>
      <c r="F7" s="14">
        <f>0.84+0.2868</f>
        <v>1.1268</v>
      </c>
      <c r="G7" s="15">
        <f>G8*0.0478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934.37</f>
        <v>934.37</v>
      </c>
      <c r="E8" s="15">
        <f>432.72-144+344.73+22.75</f>
        <v>656.2</v>
      </c>
      <c r="F8" s="15">
        <f>18+6</f>
        <v>24</v>
      </c>
      <c r="G8" s="15">
        <f>26.1506</f>
        <v>26.1506</v>
      </c>
      <c r="H8" s="4">
        <f t="shared" si="0"/>
        <v>0.0031207828629393163</v>
      </c>
      <c r="J8" s="5"/>
    </row>
    <row r="9" spans="1:10" ht="15">
      <c r="A9" s="1">
        <v>3</v>
      </c>
      <c r="B9" s="2" t="s">
        <v>12</v>
      </c>
      <c r="C9" s="3" t="s">
        <v>27</v>
      </c>
      <c r="D9" s="3">
        <f>979</f>
        <v>979</v>
      </c>
      <c r="E9" s="15">
        <f>290.8-96.8+639.18+27.81</f>
        <v>860.9899999999999</v>
      </c>
      <c r="F9" s="15">
        <f>49</f>
        <v>49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1913.37</v>
      </c>
      <c r="E10" s="15">
        <f>531.2-240.8+879.65+47.92+299.22</f>
        <v>1517.19</v>
      </c>
      <c r="F10" s="15">
        <f>F8+F9</f>
        <v>73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12716+1</f>
        <v>12717</v>
      </c>
      <c r="E11" s="15">
        <f>13447-2106</f>
        <v>11341</v>
      </c>
      <c r="F11" s="15">
        <f>597</f>
        <v>597</v>
      </c>
      <c r="G11" s="15">
        <f>D11-E11-F11+0.0004</f>
        <v>779.0004</v>
      </c>
      <c r="H11" s="4">
        <f t="shared" si="0"/>
        <v>0.09296502177934245</v>
      </c>
    </row>
    <row r="12" spans="1:8" ht="15">
      <c r="A12" s="25"/>
      <c r="B12" s="13" t="s">
        <v>15</v>
      </c>
      <c r="C12" s="3"/>
      <c r="D12" s="12">
        <f>12757</f>
        <v>12757</v>
      </c>
      <c r="E12" s="15">
        <f>10059</f>
        <v>10059</v>
      </c>
      <c r="F12" s="15">
        <f>114</f>
        <v>114</v>
      </c>
      <c r="G12" s="15">
        <f>D12-E12-F12-0.0007</f>
        <v>2583.9993</v>
      </c>
      <c r="H12" s="4">
        <f t="shared" si="0"/>
        <v>0.30837153768124587</v>
      </c>
    </row>
    <row r="13" spans="1:8" ht="15">
      <c r="A13" s="26"/>
      <c r="B13" s="10" t="s">
        <v>8</v>
      </c>
      <c r="C13" s="10"/>
      <c r="D13" s="11">
        <f>SUM(D11:D12)</f>
        <v>25474</v>
      </c>
      <c r="E13" s="16">
        <f>SUM(E11:E12)</f>
        <v>21400</v>
      </c>
      <c r="F13" s="16">
        <f>SUM(F11:F12)</f>
        <v>711</v>
      </c>
      <c r="G13" s="16">
        <f>SUM(G11:G12)</f>
        <v>3362.9997</v>
      </c>
      <c r="H13" s="4">
        <f t="shared" si="0"/>
        <v>0.4013365594605883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22" sqref="E22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28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44.69</f>
        <v>44.69</v>
      </c>
      <c r="E7" s="9">
        <f>15.5642-4.446918+20.2978+1.8755-5.928495-0.001</f>
        <v>27.361087</v>
      </c>
      <c r="F7" s="14">
        <f>0.84+0.1912</f>
        <v>1.0312</v>
      </c>
      <c r="G7" s="15">
        <f>G8*0.0478</f>
        <v>1.24999868</v>
      </c>
      <c r="H7" s="4">
        <f aca="true" t="shared" si="0" ref="H7:H13">G7/8379.5</f>
        <v>0.0001491734208484993</v>
      </c>
      <c r="J7" s="5"/>
    </row>
    <row r="8" spans="1:10" ht="15">
      <c r="A8" s="1">
        <v>2</v>
      </c>
      <c r="B8" s="2" t="s">
        <v>6</v>
      </c>
      <c r="C8" s="4"/>
      <c r="D8" s="4">
        <f>934.97</f>
        <v>934.97</v>
      </c>
      <c r="E8" s="15">
        <f>325.38-92.8+424.64+39.24-124.027094</f>
        <v>572.432906</v>
      </c>
      <c r="F8" s="15">
        <f>18.6+4</f>
        <v>22.6</v>
      </c>
      <c r="G8" s="15">
        <f>26.1506</f>
        <v>26.1506</v>
      </c>
      <c r="H8" s="4">
        <f t="shared" si="0"/>
        <v>0.0031207828629393163</v>
      </c>
      <c r="J8" s="5"/>
    </row>
    <row r="9" spans="1:10" ht="15">
      <c r="A9" s="1">
        <v>3</v>
      </c>
      <c r="B9" s="2" t="s">
        <v>12</v>
      </c>
      <c r="C9" s="3" t="s">
        <v>29</v>
      </c>
      <c r="D9" s="3">
        <f>124436-123547</f>
        <v>889</v>
      </c>
      <c r="E9" s="15">
        <f>224.07-64.02+659.89+67.47-115.46</f>
        <v>771.95</v>
      </c>
      <c r="F9" s="15">
        <f>45</f>
        <v>45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1823.97</v>
      </c>
      <c r="E10" s="15">
        <f>409.2-116.82+990+76.64+242.71+22.14-40-239.487094</f>
        <v>1344.3829060000003</v>
      </c>
      <c r="F10" s="15">
        <f>F8+F9</f>
        <v>67.6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12689+1</f>
        <v>12690</v>
      </c>
      <c r="E11" s="15">
        <f>16762-1880-102</f>
        <v>14780</v>
      </c>
      <c r="F11" s="15">
        <f>646</f>
        <v>646</v>
      </c>
      <c r="G11" s="15">
        <f>D11-E11-F11+243.5731</f>
        <v>-2492.4269</v>
      </c>
      <c r="H11" s="4">
        <f t="shared" si="0"/>
        <v>-0.29744339161047795</v>
      </c>
    </row>
    <row r="12" spans="1:8" ht="15">
      <c r="A12" s="25"/>
      <c r="B12" s="13" t="s">
        <v>15</v>
      </c>
      <c r="C12" s="3"/>
      <c r="D12" s="12">
        <f>10512</f>
        <v>10512</v>
      </c>
      <c r="E12" s="15">
        <f>7735</f>
        <v>7735</v>
      </c>
      <c r="F12" s="15">
        <f>82</f>
        <v>82</v>
      </c>
      <c r="G12" s="15">
        <f>D12-E12-F12-241.2957</f>
        <v>2453.7043</v>
      </c>
      <c r="H12" s="4">
        <f t="shared" si="0"/>
        <v>0.29282228056566617</v>
      </c>
    </row>
    <row r="13" spans="1:8" ht="15">
      <c r="A13" s="26"/>
      <c r="B13" s="10" t="s">
        <v>8</v>
      </c>
      <c r="C13" s="10"/>
      <c r="D13" s="11">
        <f>SUM(D11:D12)</f>
        <v>23202</v>
      </c>
      <c r="E13" s="16">
        <f>SUM(E11:E12)</f>
        <v>22515</v>
      </c>
      <c r="F13" s="16">
        <f>SUM(F11:F12)</f>
        <v>728</v>
      </c>
      <c r="G13" s="16">
        <f>SUM(G11:G12)</f>
        <v>-38.72260000000006</v>
      </c>
      <c r="H13" s="4">
        <f t="shared" si="0"/>
        <v>-0.00462111104481175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30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27.01+0.9</f>
        <v>27.91</v>
      </c>
      <c r="E7" s="9">
        <f>12.553-3.586569+12.7214+1.5152-4.52304+0.0001</f>
        <v>18.680091</v>
      </c>
      <c r="F7" s="14">
        <f>0.37+0.1396</f>
        <v>0.5096</v>
      </c>
      <c r="G7" s="15">
        <f>26.1506*0.0349-0.0003</f>
        <v>0.9123559400000001</v>
      </c>
      <c r="H7" s="4">
        <f aca="true" t="shared" si="0" ref="H7:H13">G7/8379.5</f>
        <v>0.00010887952025777195</v>
      </c>
      <c r="J7" s="5"/>
    </row>
    <row r="8" spans="1:10" ht="15">
      <c r="A8" s="1">
        <v>2</v>
      </c>
      <c r="B8" s="2" t="s">
        <v>6</v>
      </c>
      <c r="C8" s="4"/>
      <c r="D8" s="4">
        <f>513.2+17.11</f>
        <v>530.3100000000001</v>
      </c>
      <c r="E8" s="15">
        <f>359.04-102.4+364.51+43.42-129.6</f>
        <v>534.9699999999999</v>
      </c>
      <c r="F8" s="15">
        <f>10.71+4</f>
        <v>14.71</v>
      </c>
      <c r="G8" s="15">
        <f>D8-E8-F8+2.1123</f>
        <v>-17.257699999999854</v>
      </c>
      <c r="H8" s="4">
        <f t="shared" si="0"/>
        <v>-0.002059514290828791</v>
      </c>
      <c r="J8" s="5"/>
    </row>
    <row r="9" spans="1:10" ht="15">
      <c r="A9" s="1">
        <v>3</v>
      </c>
      <c r="B9" s="2" t="s">
        <v>12</v>
      </c>
      <c r="C9" s="3" t="s">
        <v>31</v>
      </c>
      <c r="D9" s="3">
        <f>125397-124436</f>
        <v>961</v>
      </c>
      <c r="E9" s="15">
        <f>258.02-73.72+653.43+57.79-116.4</f>
        <v>779.1199999999999</v>
      </c>
      <c r="F9" s="15">
        <f>49</f>
        <v>49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1491.31</v>
      </c>
      <c r="E10" s="15">
        <f>471.2-134.52+922.63+86.2-246+247.02+9.16-41.6</f>
        <v>1314.0900000000001</v>
      </c>
      <c r="F10" s="15">
        <f>F8+F9</f>
        <v>63.71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13184+2</f>
        <v>13186</v>
      </c>
      <c r="E11" s="15">
        <f>18492-3329-102</f>
        <v>15061</v>
      </c>
      <c r="F11" s="15">
        <f>2+524</f>
        <v>526</v>
      </c>
      <c r="G11" s="15">
        <f>D11-E11-F11+275.8973</f>
        <v>-2125.1027</v>
      </c>
      <c r="H11" s="4">
        <f t="shared" si="0"/>
        <v>-0.2536073393400561</v>
      </c>
    </row>
    <row r="12" spans="1:8" ht="15">
      <c r="A12" s="25"/>
      <c r="B12" s="13" t="s">
        <v>15</v>
      </c>
      <c r="C12" s="3"/>
      <c r="D12" s="12">
        <f>11455</f>
        <v>11455</v>
      </c>
      <c r="E12" s="15">
        <f>9035</f>
        <v>9035</v>
      </c>
      <c r="F12" s="15">
        <f>115</f>
        <v>115</v>
      </c>
      <c r="G12" s="15">
        <f>D12-E12-F12-267.2351</f>
        <v>2037.7649000000001</v>
      </c>
      <c r="H12" s="4">
        <f t="shared" si="0"/>
        <v>0.24318454561728028</v>
      </c>
    </row>
    <row r="13" spans="1:8" ht="15">
      <c r="A13" s="26"/>
      <c r="B13" s="10" t="s">
        <v>8</v>
      </c>
      <c r="C13" s="10"/>
      <c r="D13" s="11">
        <f>SUM(D11:D12)</f>
        <v>24641</v>
      </c>
      <c r="E13" s="16">
        <f>SUM(E11:E12)</f>
        <v>24096</v>
      </c>
      <c r="F13" s="16">
        <f>SUM(F11:F12)</f>
        <v>641</v>
      </c>
      <c r="G13" s="16">
        <f>SUM(G11:G12)</f>
        <v>-87.33779999999979</v>
      </c>
      <c r="H13" s="4">
        <f t="shared" si="0"/>
        <v>-0.010422793722775797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9.140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12.140625" style="0" customWidth="1"/>
    <col min="8" max="8" width="12.7109375" style="0" customWidth="1"/>
    <col min="9" max="9" width="9.57421875" style="0" bestFit="1" customWidth="1"/>
  </cols>
  <sheetData>
    <row r="3" spans="2:3" ht="15.75">
      <c r="B3" s="6" t="s">
        <v>32</v>
      </c>
      <c r="C3" s="6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0</v>
      </c>
      <c r="B5" s="27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27" t="s">
        <v>4</v>
      </c>
    </row>
    <row r="6" spans="1:8" ht="31.5" customHeight="1">
      <c r="A6" s="31"/>
      <c r="B6" s="28"/>
      <c r="C6" s="31"/>
      <c r="D6" s="31"/>
      <c r="E6" s="31"/>
      <c r="F6" s="31"/>
      <c r="G6" s="31"/>
      <c r="H6" s="28"/>
    </row>
    <row r="7" spans="1:10" ht="15">
      <c r="A7" s="7">
        <v>1</v>
      </c>
      <c r="B7" s="8" t="s">
        <v>13</v>
      </c>
      <c r="C7" s="7"/>
      <c r="D7" s="9">
        <f>39.29</f>
        <v>39.29</v>
      </c>
      <c r="E7" s="9">
        <f>15.7659-4.504559+17.819+2.2359-0.0017</f>
        <v>31.314541</v>
      </c>
      <c r="F7" s="14">
        <f>0.66+0.1317</f>
        <v>0.7917000000000001</v>
      </c>
      <c r="G7" s="15">
        <f>26.1506*0.0439+0.0004</f>
        <v>1.14841134</v>
      </c>
      <c r="H7" s="4">
        <f aca="true" t="shared" si="0" ref="H7:H13">G7/8379.5</f>
        <v>0.00013705010322811624</v>
      </c>
      <c r="J7" s="5"/>
    </row>
    <row r="8" spans="1:10" ht="15">
      <c r="A8" s="1">
        <v>2</v>
      </c>
      <c r="B8" s="2" t="s">
        <v>6</v>
      </c>
      <c r="C8" s="4"/>
      <c r="D8" s="4">
        <f>748.7</f>
        <v>748.7</v>
      </c>
      <c r="E8" s="15">
        <f>359.04-102.4+405.9+50.93</f>
        <v>713.4699999999999</v>
      </c>
      <c r="F8" s="15">
        <f>15.12+3</f>
        <v>18.119999999999997</v>
      </c>
      <c r="G8" s="15">
        <f>D8-E8-F8-0.0007</f>
        <v>17.109300000000136</v>
      </c>
      <c r="H8" s="4">
        <f t="shared" si="0"/>
        <v>0.00204180440360405</v>
      </c>
      <c r="J8" s="5"/>
    </row>
    <row r="9" spans="1:10" ht="15">
      <c r="A9" s="1">
        <v>3</v>
      </c>
      <c r="B9" s="2" t="s">
        <v>12</v>
      </c>
      <c r="C9" s="3" t="s">
        <v>33</v>
      </c>
      <c r="D9" s="3">
        <f>126362-125397</f>
        <v>965</v>
      </c>
      <c r="E9" s="15">
        <f>258.02-73.72+613.36+38.23</f>
        <v>835.89</v>
      </c>
      <c r="F9" s="15">
        <f>60</f>
        <v>60</v>
      </c>
      <c r="G9" s="15">
        <f>26.1506</f>
        <v>26.1506</v>
      </c>
      <c r="H9" s="4">
        <f t="shared" si="0"/>
        <v>0.0031207828629393163</v>
      </c>
      <c r="J9" s="5"/>
    </row>
    <row r="10" spans="1:8" ht="15">
      <c r="A10" s="1">
        <v>4</v>
      </c>
      <c r="B10" s="2" t="s">
        <v>7</v>
      </c>
      <c r="C10" s="3"/>
      <c r="D10" s="3">
        <f>D8+D9</f>
        <v>1713.7</v>
      </c>
      <c r="E10" s="18">
        <f>471.2-134.52+955.09+60.91+236.42+1.86-41.6</f>
        <v>1549.3600000000001</v>
      </c>
      <c r="F10" s="18">
        <f>F8+F9</f>
        <v>78.12</v>
      </c>
      <c r="G10" s="15">
        <v>0</v>
      </c>
      <c r="H10" s="4">
        <f t="shared" si="0"/>
        <v>0</v>
      </c>
    </row>
    <row r="11" spans="1:8" ht="15">
      <c r="A11" s="24">
        <v>5</v>
      </c>
      <c r="B11" s="13" t="s">
        <v>14</v>
      </c>
      <c r="C11" s="3"/>
      <c r="D11" s="12">
        <f>15014+1</f>
        <v>15015</v>
      </c>
      <c r="E11" s="15">
        <f>21877-2142-102</f>
        <v>19633</v>
      </c>
      <c r="F11" s="15">
        <f>1+524</f>
        <v>525</v>
      </c>
      <c r="G11" s="15">
        <f>D11-E11-F11+378.21</f>
        <v>-4764.79</v>
      </c>
      <c r="H11" s="4">
        <f t="shared" si="0"/>
        <v>-0.5686246196073751</v>
      </c>
    </row>
    <row r="12" spans="1:8" ht="15">
      <c r="A12" s="25"/>
      <c r="B12" s="13" t="s">
        <v>15</v>
      </c>
      <c r="C12" s="3"/>
      <c r="D12" s="12">
        <f>14429</f>
        <v>14429</v>
      </c>
      <c r="E12" s="15">
        <f>10219</f>
        <v>10219</v>
      </c>
      <c r="F12" s="15">
        <f>118</f>
        <v>118</v>
      </c>
      <c r="G12" s="15">
        <f>D12-E12-F12-343.0474</f>
        <v>3748.9526</v>
      </c>
      <c r="H12" s="4">
        <f t="shared" si="0"/>
        <v>0.4473957396026016</v>
      </c>
    </row>
    <row r="13" spans="1:8" ht="15">
      <c r="A13" s="26"/>
      <c r="B13" s="10" t="s">
        <v>8</v>
      </c>
      <c r="C13" s="10"/>
      <c r="D13" s="11">
        <f>SUM(D11:D12)</f>
        <v>29444</v>
      </c>
      <c r="E13" s="16">
        <f>SUM(E11:E12)</f>
        <v>29852</v>
      </c>
      <c r="F13" s="16">
        <f>SUM(F11:F12)</f>
        <v>643</v>
      </c>
      <c r="G13" s="16">
        <f>SUM(G11:G12)</f>
        <v>-1015.8373999999999</v>
      </c>
      <c r="H13" s="4">
        <f t="shared" si="0"/>
        <v>-0.12122888000477354</v>
      </c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2013-01-25T05:28:57Z</cp:lastPrinted>
  <dcterms:created xsi:type="dcterms:W3CDTF">2006-09-16T00:00:00Z</dcterms:created>
  <dcterms:modified xsi:type="dcterms:W3CDTF">2017-01-31T12:14:17Z</dcterms:modified>
  <cp:category/>
  <cp:version/>
  <cp:contentType/>
  <cp:contentStatus/>
</cp:coreProperties>
</file>