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7" activeTab="11"/>
  </bookViews>
  <sheets>
    <sheet name="222 (январь)" sheetId="1" r:id="rId1"/>
    <sheet name="222 (февраль)" sheetId="2" r:id="rId2"/>
    <sheet name="222 (март)" sheetId="3" r:id="rId3"/>
    <sheet name="222 (апрель)" sheetId="4" r:id="rId4"/>
    <sheet name="222 (май)" sheetId="5" r:id="rId5"/>
    <sheet name="222 (июнь)" sheetId="6" r:id="rId6"/>
    <sheet name="222 (июль)" sheetId="7" r:id="rId7"/>
    <sheet name="222 (август)" sheetId="8" r:id="rId8"/>
    <sheet name="222 (сентябрь)" sheetId="9" r:id="rId9"/>
    <sheet name="222 (октябрь)" sheetId="10" r:id="rId10"/>
    <sheet name="222 (ноябрь)" sheetId="11" r:id="rId11"/>
    <sheet name="222 (декабрь)" sheetId="12" r:id="rId12"/>
  </sheets>
  <definedNames/>
  <calcPr fullCalcOnLoad="1"/>
</workbook>
</file>

<file path=xl/sharedStrings.xml><?xml version="1.0" encoding="utf-8"?>
<sst xmlns="http://schemas.openxmlformats.org/spreadsheetml/2006/main" count="230" uniqueCount="49">
  <si>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</si>
  <si>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</si>
  <si>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</si>
  <si>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</si>
  <si>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</si>
  <si>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</si>
  <si>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</si>
  <si>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показания прибора учета (моп, лифты, дымоудаление)</t>
  </si>
  <si>
    <t>ГВС (тонн)</t>
  </si>
  <si>
    <t>водоотведение(тонн)</t>
  </si>
  <si>
    <t>объем потребления</t>
  </si>
  <si>
    <t>показание 1</t>
  </si>
  <si>
    <t>показание 2</t>
  </si>
  <si>
    <t>итого по эл.эн.</t>
  </si>
  <si>
    <t>эл.эн.день № сч.683484</t>
  </si>
  <si>
    <t>эл.эн.ночь № сч.683484</t>
  </si>
  <si>
    <t>эл.эн.день № сч.692298</t>
  </si>
  <si>
    <t>эл.эн.ночь № сч.692298</t>
  </si>
  <si>
    <t>день эл.эн.</t>
  </si>
  <si>
    <t>ночь эл.эн.</t>
  </si>
  <si>
    <t>Волгоградская 222</t>
  </si>
  <si>
    <t>ХВС (тонн)</t>
  </si>
  <si>
    <t>нагрев воды (Г.кал.)</t>
  </si>
  <si>
    <t>Объем коммунальных услуг по показаниям общедомовых приборов учета (ОДН) за январь в феврале 2015г.</t>
  </si>
  <si>
    <t>55398,/55824</t>
  </si>
  <si>
    <t>Объем коммунальных услуг по показаниям общедомовых приборов учета (ОДН) за февраль в марте 2015г.</t>
  </si>
  <si>
    <t>55824,/56448</t>
  </si>
  <si>
    <t>Объем коммунальных услуг по показаниям общедомовых приборов учета (ОДН) за март в апреле 2015г.</t>
  </si>
  <si>
    <t>56448,/57017</t>
  </si>
  <si>
    <t>Общий объем эл.эн.день</t>
  </si>
  <si>
    <t>Общий объем эл.эн.ночь</t>
  </si>
  <si>
    <t>Объем коммунальных услуг по показаниям общедомовых приборов учета (ОДН) за апрель в мае 2015г.</t>
  </si>
  <si>
    <t>57017/57165,/57639</t>
  </si>
  <si>
    <t>Объем коммунальных услуг по показаниям общедомовых приборов учета (ОДН) за май в июне 2015г.</t>
  </si>
  <si>
    <t>57639,/58215</t>
  </si>
  <si>
    <t>Объем коммунальных услуг по показаниям общедомовых приборов учета (ОДН) за июнь в июле 2015г.</t>
  </si>
  <si>
    <t>58215,/58687</t>
  </si>
  <si>
    <t>Объем коммунальных услуг по показаниям общедомовых приборов учета (ОДН) за июль в августе 2015г.</t>
  </si>
  <si>
    <t>58687,/59149</t>
  </si>
  <si>
    <t>Объем коммунальных услуг по показаниям общедомовых приборов учета (ОДН) за август в сентябре 2015г.</t>
  </si>
  <si>
    <t>59149,/59689</t>
  </si>
  <si>
    <t>Объем коммунальных услуг по показаниям общедомовых приборов учета (ОДН) за сентябрь в октябре 2015г.</t>
  </si>
  <si>
    <t>59689,/60165</t>
  </si>
  <si>
    <t>Объем коммунальных услуг по показаниям общедомовых приборов учета (ОДН) за октябрь в ноябре 2015г.</t>
  </si>
  <si>
    <t>60165,/60730</t>
  </si>
  <si>
    <t>Объем коммунальных услуг по показаниям общедомовых приборов учета (ОДН) за ноябрь в декабре 2015г.</t>
  </si>
  <si>
    <t>60730,/61256</t>
  </si>
  <si>
    <t>Объем коммунальных услуг по показаниям общедомовых приборов учета (ОДН) за декабрь в янвабре 2016г.</t>
  </si>
  <si>
    <t>61265,/61856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</si>
</sst>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"/>
    <numFmt numFmtId="174" formatCode="#,##0.0000"/>
    <numFmt numFmtId="175" formatCode="#,##0.00000"/>
    <numFmt numFmtId="176" formatCode="#,##0.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24" borderId="0" xfId="0" applyNumberForma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 vertical="center" wrapText="1"/>
    </xf>
    <xf numFmtId="166" fontId="0" fillId="24" borderId="12" xfId="0" applyNumberFormat="1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58" applyNumberFormat="1" applyBorder="1" applyAlignment="1">
      <alignment horizontal="center" vertical="center"/>
    </xf>
    <xf numFmtId="2" fontId="0" fillId="0" borderId="10" xfId="58" applyNumberFormat="1" applyBorder="1" applyAlignment="1">
      <alignment horizontal="center" vertical="center"/>
    </xf>
    <xf numFmtId="165" fontId="0" fillId="24" borderId="12" xfId="0" applyNumberFormat="1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0" xfId="58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9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9" sqref="E9"/>
    </sheetView>
  </sheetViews>
  <sheetFormatPr defaultColWidth="9.140625" defaultRowHeight="15"/>
  <cols>
    <col min="1" max="1" width="4.8515625" style="0" customWidth="1"/>
    <col min="2" max="2" width="23.421875" style="0" customWidth="1"/>
    <col min="3" max="3" width="17.57421875" style="0" customWidth="1"/>
    <col min="4" max="4" width="16.140625" style="0" customWidth="1"/>
    <col min="5" max="5" width="15.421875" style="0" customWidth="1"/>
    <col min="6" max="6" width="14.7109375" style="0" customWidth="1"/>
    <col min="7" max="7" width="16.7109375" style="0" customWidth="1"/>
    <col min="8" max="8" width="15.8515625" style="0" customWidth="1"/>
    <col min="9" max="9" width="12.7109375" style="0" customWidth="1"/>
    <col min="10" max="10" width="12.28125" style="0" customWidth="1"/>
    <col min="11" max="11" width="9.57421875" style="0" bestFit="1" customWidth="1"/>
  </cols>
  <sheetData>
    <row r="3" ht="15.75">
      <c r="C3" s="14" t="s">
        <v>23</v>
      </c>
    </row>
    <row r="4" spans="1:10" ht="15">
      <c r="A4" s="36" t="s">
        <v>20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76.5" customHeight="1">
      <c r="A5" s="37" t="s">
        <v>0</v>
      </c>
      <c r="B5" s="39" t="s">
        <v>1</v>
      </c>
      <c r="C5" s="37" t="s">
        <v>2</v>
      </c>
      <c r="D5" s="41" t="s">
        <v>7</v>
      </c>
      <c r="E5" s="42"/>
      <c r="F5" s="37" t="s">
        <v>10</v>
      </c>
      <c r="G5" s="37" t="s">
        <v>3</v>
      </c>
      <c r="H5" s="37" t="s">
        <v>4</v>
      </c>
      <c r="I5" s="37" t="s">
        <v>5</v>
      </c>
      <c r="J5" s="39" t="s">
        <v>6</v>
      </c>
    </row>
    <row r="6" spans="1:10" ht="15.75">
      <c r="A6" s="38"/>
      <c r="B6" s="40"/>
      <c r="C6" s="38"/>
      <c r="D6" s="15" t="s">
        <v>11</v>
      </c>
      <c r="E6" s="16" t="s">
        <v>12</v>
      </c>
      <c r="F6" s="38"/>
      <c r="G6" s="38"/>
      <c r="H6" s="38"/>
      <c r="I6" s="38"/>
      <c r="J6" s="40"/>
    </row>
    <row r="7" spans="1:12" ht="15">
      <c r="A7" s="17">
        <v>1</v>
      </c>
      <c r="B7" s="18" t="s">
        <v>22</v>
      </c>
      <c r="C7" s="17"/>
      <c r="D7" s="19"/>
      <c r="E7" s="20"/>
      <c r="F7" s="21">
        <f>25.87+0.34+0.34</f>
        <v>26.55</v>
      </c>
      <c r="G7" s="21">
        <f>G8*0.0478</f>
        <v>17.770128000000003</v>
      </c>
      <c r="H7" s="21">
        <f>0.34+0.34</f>
        <v>0.68</v>
      </c>
      <c r="I7" s="5">
        <f>I8*0.0478</f>
        <v>0.6842331</v>
      </c>
      <c r="J7" s="6">
        <f>I7/4587.3</f>
        <v>0.00014915813223464783</v>
      </c>
      <c r="L7" s="8"/>
    </row>
    <row r="8" spans="1:12" ht="15">
      <c r="A8" s="2">
        <v>2</v>
      </c>
      <c r="B8" s="3" t="s">
        <v>8</v>
      </c>
      <c r="C8" s="6"/>
      <c r="D8" s="4"/>
      <c r="E8" s="4"/>
      <c r="F8" s="6">
        <f>541.23+5.21+5.21</f>
        <v>551.6500000000001</v>
      </c>
      <c r="G8" s="5">
        <f>92.23+251.11+28.42</f>
        <v>371.76000000000005</v>
      </c>
      <c r="H8" s="5">
        <f>5.21+5.21</f>
        <v>10.42</v>
      </c>
      <c r="I8" s="5">
        <f>14.3145</f>
        <v>14.3145</v>
      </c>
      <c r="J8" s="6">
        <f aca="true" t="shared" si="0" ref="J8:J17">I8/4587.3</f>
        <v>0.0031204630174612516</v>
      </c>
      <c r="L8" s="8"/>
    </row>
    <row r="9" spans="1:12" ht="15">
      <c r="A9" s="2">
        <v>3</v>
      </c>
      <c r="B9" s="3" t="s">
        <v>21</v>
      </c>
      <c r="C9" s="5" t="s">
        <v>24</v>
      </c>
      <c r="D9" s="4"/>
      <c r="E9" s="4"/>
      <c r="F9" s="5">
        <f>55824-55398</f>
        <v>426</v>
      </c>
      <c r="G9" s="5">
        <f>160.05+363.37+11.4</f>
        <v>534.82</v>
      </c>
      <c r="H9" s="5">
        <f>17</f>
        <v>17</v>
      </c>
      <c r="I9" s="5">
        <f>F9-G9-H9</f>
        <v>-125.82000000000005</v>
      </c>
      <c r="J9" s="6">
        <f t="shared" si="0"/>
        <v>-0.02742789876397882</v>
      </c>
      <c r="L9" s="8"/>
    </row>
    <row r="10" spans="1:10" ht="15">
      <c r="A10" s="2">
        <v>4</v>
      </c>
      <c r="B10" s="3" t="s">
        <v>9</v>
      </c>
      <c r="C10" s="5"/>
      <c r="D10" s="4"/>
      <c r="E10" s="4"/>
      <c r="F10" s="5">
        <f>F8+F9</f>
        <v>977.6500000000001</v>
      </c>
      <c r="G10" s="5">
        <f>203.78+586.62+28.15+84.81+3.22</f>
        <v>906.5799999999999</v>
      </c>
      <c r="H10" s="5">
        <f>H8+H9</f>
        <v>27.42</v>
      </c>
      <c r="I10" s="5">
        <v>0</v>
      </c>
      <c r="J10" s="6">
        <f t="shared" si="0"/>
        <v>0</v>
      </c>
    </row>
    <row r="11" spans="1:10" ht="15">
      <c r="A11" s="43">
        <v>5</v>
      </c>
      <c r="B11" s="3" t="s">
        <v>14</v>
      </c>
      <c r="C11" s="5"/>
      <c r="D11" s="9">
        <v>10637</v>
      </c>
      <c r="E11" s="9">
        <v>10809</v>
      </c>
      <c r="F11" s="6">
        <f>(E11-D11)*6*100.29%+0.008</f>
        <v>1035.0008000000003</v>
      </c>
      <c r="G11" s="5">
        <v>0</v>
      </c>
      <c r="H11" s="5">
        <v>0</v>
      </c>
      <c r="I11" s="5">
        <f>F11-G11-H11</f>
        <v>1035.0008000000003</v>
      </c>
      <c r="J11" s="6">
        <f t="shared" si="0"/>
        <v>0.22562308983497922</v>
      </c>
    </row>
    <row r="12" spans="1:10" ht="15">
      <c r="A12" s="44"/>
      <c r="B12" s="3" t="s">
        <v>15</v>
      </c>
      <c r="C12" s="5"/>
      <c r="D12" s="9">
        <v>10941</v>
      </c>
      <c r="E12" s="9">
        <v>11130</v>
      </c>
      <c r="F12" s="6">
        <f>(E12-D12)*6*100.29%-0.29</f>
        <v>1136.9986000000001</v>
      </c>
      <c r="G12" s="5">
        <v>0</v>
      </c>
      <c r="H12" s="5">
        <v>0</v>
      </c>
      <c r="I12" s="5">
        <f>F12-G12-H12</f>
        <v>1136.9986000000001</v>
      </c>
      <c r="J12" s="6">
        <f t="shared" si="0"/>
        <v>0.2478579120615613</v>
      </c>
    </row>
    <row r="13" spans="1:10" ht="15">
      <c r="A13" s="44"/>
      <c r="B13" s="3" t="s">
        <v>16</v>
      </c>
      <c r="C13" s="5"/>
      <c r="D13" s="9">
        <v>54858</v>
      </c>
      <c r="E13" s="9">
        <v>55439</v>
      </c>
      <c r="F13" s="6">
        <f>(E13-D13)*1*100.29%+0.318</f>
        <v>583.0029000000001</v>
      </c>
      <c r="G13" s="5">
        <v>0</v>
      </c>
      <c r="H13" s="5">
        <v>0</v>
      </c>
      <c r="I13" s="5">
        <f>F13-G13-H13</f>
        <v>583.0029000000001</v>
      </c>
      <c r="J13" s="6">
        <f t="shared" si="0"/>
        <v>0.12709064155385522</v>
      </c>
    </row>
    <row r="14" spans="1:10" ht="15">
      <c r="A14" s="44"/>
      <c r="B14" s="3" t="s">
        <v>17</v>
      </c>
      <c r="C14" s="5"/>
      <c r="D14" s="9">
        <v>57275</v>
      </c>
      <c r="E14" s="9">
        <v>57988</v>
      </c>
      <c r="F14" s="6">
        <f>(E14-D14)*1*100.29%-0.07</f>
        <v>714.9977</v>
      </c>
      <c r="G14" s="5">
        <v>0</v>
      </c>
      <c r="H14" s="5">
        <v>0</v>
      </c>
      <c r="I14" s="5">
        <f>F14-G14-H14</f>
        <v>714.9977</v>
      </c>
      <c r="J14" s="6">
        <f t="shared" si="0"/>
        <v>0.15586460445142022</v>
      </c>
    </row>
    <row r="15" spans="1:12" ht="15">
      <c r="A15" s="45"/>
      <c r="B15" s="22" t="s">
        <v>13</v>
      </c>
      <c r="C15" s="22"/>
      <c r="D15" s="7"/>
      <c r="E15" s="22"/>
      <c r="F15" s="23">
        <f>SUM(F11:F14)</f>
        <v>3470.0000000000005</v>
      </c>
      <c r="G15" s="23">
        <f>SUM(G11:G14)</f>
        <v>0</v>
      </c>
      <c r="H15" s="23">
        <f>SUM(H11:H14)</f>
        <v>0</v>
      </c>
      <c r="I15" s="23">
        <f>SUM(I11:I14)</f>
        <v>3470.0000000000005</v>
      </c>
      <c r="J15" s="6">
        <f t="shared" si="0"/>
        <v>0.756436247901816</v>
      </c>
      <c r="K15" s="13"/>
      <c r="L15" s="8"/>
    </row>
    <row r="16" spans="1:12" ht="15">
      <c r="A16" s="1"/>
      <c r="B16" s="1"/>
      <c r="C16" s="1"/>
      <c r="D16" s="1"/>
      <c r="E16" s="1" t="s">
        <v>18</v>
      </c>
      <c r="F16" s="24">
        <f aca="true" t="shared" si="1" ref="F16:I17">F11+F13</f>
        <v>1618.0037000000002</v>
      </c>
      <c r="G16" s="24">
        <f t="shared" si="1"/>
        <v>0</v>
      </c>
      <c r="H16" s="24">
        <f t="shared" si="1"/>
        <v>0</v>
      </c>
      <c r="I16" s="24">
        <f t="shared" si="1"/>
        <v>1618.0037000000002</v>
      </c>
      <c r="J16" s="6">
        <f t="shared" si="0"/>
        <v>0.35271373138883444</v>
      </c>
      <c r="K16" s="12"/>
      <c r="L16" s="12"/>
    </row>
    <row r="17" spans="1:10" ht="15">
      <c r="A17" s="1"/>
      <c r="B17" s="1"/>
      <c r="C17" s="1"/>
      <c r="D17" s="1"/>
      <c r="E17" s="1" t="s">
        <v>19</v>
      </c>
      <c r="F17" s="12">
        <f t="shared" si="1"/>
        <v>1851.9963000000002</v>
      </c>
      <c r="G17" s="12">
        <f t="shared" si="1"/>
        <v>0</v>
      </c>
      <c r="H17" s="12">
        <f t="shared" si="1"/>
        <v>0</v>
      </c>
      <c r="I17" s="12">
        <f t="shared" si="1"/>
        <v>1851.9963000000002</v>
      </c>
      <c r="J17" s="6">
        <f t="shared" si="0"/>
        <v>0.4037225165129815</v>
      </c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1"/>
      <c r="G21" s="1"/>
      <c r="H21" s="1"/>
    </row>
    <row r="22" spans="1:8" ht="15">
      <c r="A22" s="1"/>
      <c r="B22" s="1"/>
      <c r="C22" s="1"/>
      <c r="D22" s="1"/>
      <c r="E22" s="1"/>
      <c r="F22" s="11"/>
      <c r="G22" s="1"/>
      <c r="H22" s="1"/>
    </row>
    <row r="23" spans="1:8" ht="15">
      <c r="A23" s="1"/>
      <c r="B23" s="1"/>
      <c r="C23" s="1"/>
      <c r="D23" s="1"/>
      <c r="E23" s="1"/>
      <c r="F23" s="11"/>
      <c r="G23" s="1"/>
      <c r="H23" s="1"/>
    </row>
    <row r="24" spans="1:8" ht="15">
      <c r="A24" s="1"/>
      <c r="B24" s="1"/>
      <c r="C24" s="1"/>
      <c r="D24" s="1"/>
      <c r="E24" s="1"/>
      <c r="F24" s="11"/>
      <c r="G24" s="10"/>
      <c r="H24" s="1"/>
    </row>
    <row r="25" spans="1:8" ht="15">
      <c r="A25" s="1"/>
      <c r="B25" s="1"/>
      <c r="C25" s="1"/>
      <c r="D25" s="1"/>
      <c r="E25" s="1"/>
      <c r="F25" s="11"/>
      <c r="G25" s="1"/>
      <c r="H25" s="1"/>
    </row>
    <row r="26" spans="1:8" ht="15">
      <c r="A26" s="1"/>
      <c r="B26" s="1"/>
      <c r="C26" s="1"/>
      <c r="D26" s="1"/>
      <c r="E26" s="1"/>
      <c r="F26" s="11"/>
      <c r="G26" s="1"/>
      <c r="H26" s="1"/>
    </row>
    <row r="27" spans="1:8" ht="15">
      <c r="A27" s="1"/>
      <c r="B27" s="1"/>
      <c r="C27" s="1"/>
      <c r="D27" s="1"/>
      <c r="E27" s="1"/>
      <c r="F27" s="11"/>
      <c r="G27" s="1"/>
      <c r="H27" s="1"/>
    </row>
    <row r="28" spans="1:8" ht="15">
      <c r="A28" s="1"/>
      <c r="B28" s="1"/>
      <c r="C28" s="1"/>
      <c r="D28" s="1"/>
      <c r="E28" s="1"/>
      <c r="F28" s="11"/>
      <c r="G28" s="10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</sheetData>
  <sheetProtection/>
  <mergeCells count="11">
    <mergeCell ref="A11:A15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8515625" style="0" customWidth="1"/>
    <col min="2" max="2" width="23.421875" style="0" customWidth="1"/>
    <col min="3" max="3" width="17.57421875" style="0" customWidth="1"/>
    <col min="4" max="4" width="14.710937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2.28125" style="0" customWidth="1"/>
    <col min="9" max="9" width="9.57421875" style="0" bestFit="1" customWidth="1"/>
  </cols>
  <sheetData>
    <row r="3" spans="2:3" ht="15.75">
      <c r="B3" s="14" t="s">
        <v>43</v>
      </c>
      <c r="C3" s="14"/>
    </row>
    <row r="4" spans="1:8" ht="15">
      <c r="A4" s="36" t="s">
        <v>20</v>
      </c>
      <c r="B4" s="36"/>
      <c r="C4" s="36"/>
      <c r="D4" s="36"/>
      <c r="E4" s="36"/>
      <c r="F4" s="36"/>
      <c r="G4" s="36"/>
      <c r="H4" s="36"/>
    </row>
    <row r="5" spans="1:8" ht="76.5" customHeight="1">
      <c r="A5" s="37" t="s">
        <v>0</v>
      </c>
      <c r="B5" s="39" t="s">
        <v>1</v>
      </c>
      <c r="C5" s="37" t="s">
        <v>2</v>
      </c>
      <c r="D5" s="37" t="s">
        <v>10</v>
      </c>
      <c r="E5" s="37" t="s">
        <v>3</v>
      </c>
      <c r="F5" s="37" t="s">
        <v>4</v>
      </c>
      <c r="G5" s="37" t="s">
        <v>5</v>
      </c>
      <c r="H5" s="39" t="s">
        <v>6</v>
      </c>
    </row>
    <row r="6" spans="1:8" ht="15" customHeight="1">
      <c r="A6" s="38"/>
      <c r="B6" s="40"/>
      <c r="C6" s="38"/>
      <c r="D6" s="38"/>
      <c r="E6" s="38"/>
      <c r="F6" s="38"/>
      <c r="G6" s="38"/>
      <c r="H6" s="40"/>
    </row>
    <row r="7" spans="1:10" ht="15">
      <c r="A7" s="17">
        <v>1</v>
      </c>
      <c r="B7" s="18" t="s">
        <v>22</v>
      </c>
      <c r="C7" s="17"/>
      <c r="D7" s="21">
        <f>37.24</f>
        <v>37.24</v>
      </c>
      <c r="E7" s="21">
        <f>E8*0.0478+0.0009</f>
        <v>20.197356000000003</v>
      </c>
      <c r="F7" s="34">
        <f>0.27+0.66</f>
        <v>0.93</v>
      </c>
      <c r="G7" s="30">
        <f>14.4049*0.0478-0.0004</f>
        <v>0.68815422</v>
      </c>
      <c r="H7" s="6">
        <f aca="true" t="shared" si="0" ref="H7:H13">G7/4749.3</f>
        <v>0.0001448959257153686</v>
      </c>
      <c r="J7" s="8"/>
    </row>
    <row r="8" spans="1:10" ht="15">
      <c r="A8" s="2">
        <v>2</v>
      </c>
      <c r="B8" s="3" t="s">
        <v>8</v>
      </c>
      <c r="C8" s="6"/>
      <c r="D8" s="6">
        <f>328.6</f>
        <v>328.6</v>
      </c>
      <c r="E8" s="30">
        <f>134.68-22.4+253.42+56.82</f>
        <v>422.52</v>
      </c>
      <c r="F8" s="30">
        <f>1.9+4.64</f>
        <v>6.539999999999999</v>
      </c>
      <c r="G8" s="30">
        <f>D8-E8-F8+9.6002</f>
        <v>-90.85979999999995</v>
      </c>
      <c r="H8" s="6">
        <f t="shared" si="0"/>
        <v>-0.01913119828185205</v>
      </c>
      <c r="J8" s="8"/>
    </row>
    <row r="9" spans="1:10" ht="15">
      <c r="A9" s="2">
        <v>3</v>
      </c>
      <c r="B9" s="3" t="s">
        <v>21</v>
      </c>
      <c r="C9" s="5" t="s">
        <v>44</v>
      </c>
      <c r="D9" s="5">
        <f>60730-60165</f>
        <v>565</v>
      </c>
      <c r="E9" s="30">
        <f>145.5-24.25+309+39.25</f>
        <v>469.5</v>
      </c>
      <c r="F9" s="30">
        <f>7</f>
        <v>7</v>
      </c>
      <c r="G9" s="30">
        <f>14.4049+0.001</f>
        <v>14.405899999999999</v>
      </c>
      <c r="H9" s="6">
        <f t="shared" si="0"/>
        <v>0.003033268060556292</v>
      </c>
      <c r="J9" s="8"/>
    </row>
    <row r="10" spans="1:8" ht="15">
      <c r="A10" s="2">
        <v>4</v>
      </c>
      <c r="B10" s="3" t="s">
        <v>9</v>
      </c>
      <c r="C10" s="5"/>
      <c r="D10" s="5">
        <f>D8+D9</f>
        <v>893.6</v>
      </c>
      <c r="E10" s="32">
        <f>177.2+557.19+75.2+51.54+30.89</f>
        <v>892.0200000000001</v>
      </c>
      <c r="F10" s="30">
        <f>F8+F9</f>
        <v>13.54</v>
      </c>
      <c r="G10" s="30">
        <v>0</v>
      </c>
      <c r="H10" s="6">
        <f t="shared" si="0"/>
        <v>0</v>
      </c>
    </row>
    <row r="11" spans="1:8" ht="15">
      <c r="A11" s="43">
        <v>5</v>
      </c>
      <c r="B11" s="26" t="s">
        <v>29</v>
      </c>
      <c r="C11" s="5"/>
      <c r="D11" s="6">
        <v>8570</v>
      </c>
      <c r="E11" s="30">
        <f>7475</f>
        <v>7475</v>
      </c>
      <c r="F11" s="30">
        <v>0</v>
      </c>
      <c r="G11" s="30">
        <f>D11-E11-F11</f>
        <v>1095</v>
      </c>
      <c r="H11" s="6">
        <f t="shared" si="0"/>
        <v>0.23056029309582463</v>
      </c>
    </row>
    <row r="12" spans="1:8" ht="15">
      <c r="A12" s="44"/>
      <c r="B12" s="26" t="s">
        <v>30</v>
      </c>
      <c r="C12" s="5"/>
      <c r="D12" s="6">
        <f>9188</f>
        <v>9188</v>
      </c>
      <c r="E12" s="30">
        <f>7916</f>
        <v>7916</v>
      </c>
      <c r="F12" s="30">
        <v>0</v>
      </c>
      <c r="G12" s="30">
        <f>D12-E12-F12+0.0004</f>
        <v>1272.0004</v>
      </c>
      <c r="H12" s="6">
        <f t="shared" si="0"/>
        <v>0.26782902743562204</v>
      </c>
    </row>
    <row r="13" spans="1:8" ht="15">
      <c r="A13" s="45"/>
      <c r="B13" s="22" t="s">
        <v>13</v>
      </c>
      <c r="C13" s="22"/>
      <c r="D13" s="23">
        <f>SUM(D11:D12)</f>
        <v>17758</v>
      </c>
      <c r="E13" s="35">
        <f>SUM(E11:E12)</f>
        <v>15391</v>
      </c>
      <c r="F13" s="35">
        <f>SUM(F11:F12)</f>
        <v>0</v>
      </c>
      <c r="G13" s="35">
        <f>SUM(G11:G12)</f>
        <v>2367.0004</v>
      </c>
      <c r="H13" s="6">
        <f t="shared" si="0"/>
        <v>0.4983893205314467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1"/>
      <c r="E17" s="1"/>
      <c r="F17" s="1"/>
    </row>
    <row r="18" spans="1:6" ht="15">
      <c r="A18" s="1"/>
      <c r="B18" s="1"/>
      <c r="C18" s="1"/>
      <c r="D18" s="11"/>
      <c r="E18" s="1"/>
      <c r="F18" s="1"/>
    </row>
    <row r="19" spans="1:6" ht="15">
      <c r="A19" s="1"/>
      <c r="B19" s="1"/>
      <c r="C19" s="1"/>
      <c r="D19" s="11"/>
      <c r="E19" s="1"/>
      <c r="F19" s="1"/>
    </row>
    <row r="20" spans="1:6" ht="15">
      <c r="A20" s="1"/>
      <c r="B20" s="1"/>
      <c r="C20" s="1"/>
      <c r="D20" s="11"/>
      <c r="E20" s="10"/>
      <c r="F20" s="1"/>
    </row>
    <row r="21" spans="1:6" ht="15">
      <c r="A21" s="1"/>
      <c r="B21" s="1"/>
      <c r="C21" s="1"/>
      <c r="D21" s="11"/>
      <c r="E21" s="1"/>
      <c r="F21" s="1"/>
    </row>
    <row r="22" spans="1:6" ht="15">
      <c r="A22" s="1"/>
      <c r="B22" s="1"/>
      <c r="C22" s="1"/>
      <c r="D22" s="11"/>
      <c r="E22" s="1"/>
      <c r="F22" s="1"/>
    </row>
    <row r="23" spans="1:6" ht="15">
      <c r="A23" s="1"/>
      <c r="B23" s="1"/>
      <c r="C23" s="1"/>
      <c r="D23" s="11"/>
      <c r="E23" s="1"/>
      <c r="F23" s="1"/>
    </row>
    <row r="24" spans="1:6" ht="15">
      <c r="A24" s="1"/>
      <c r="B24" s="1"/>
      <c r="C24" s="1"/>
      <c r="D24" s="11"/>
      <c r="E24" s="10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G5:G6"/>
    <mergeCell ref="H5:H6"/>
    <mergeCell ref="A11:A13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21" sqref="F21"/>
    </sheetView>
  </sheetViews>
  <sheetFormatPr defaultColWidth="9.140625" defaultRowHeight="15"/>
  <cols>
    <col min="1" max="1" width="4.8515625" style="0" customWidth="1"/>
    <col min="2" max="2" width="23.421875" style="0" customWidth="1"/>
    <col min="3" max="3" width="17.57421875" style="0" customWidth="1"/>
    <col min="4" max="4" width="14.710937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2.28125" style="0" customWidth="1"/>
    <col min="9" max="9" width="9.57421875" style="0" bestFit="1" customWidth="1"/>
  </cols>
  <sheetData>
    <row r="3" spans="2:3" ht="15.75">
      <c r="B3" s="14" t="s">
        <v>45</v>
      </c>
      <c r="C3" s="14"/>
    </row>
    <row r="4" spans="1:8" ht="15">
      <c r="A4" s="36" t="s">
        <v>20</v>
      </c>
      <c r="B4" s="36"/>
      <c r="C4" s="36"/>
      <c r="D4" s="36"/>
      <c r="E4" s="36"/>
      <c r="F4" s="36"/>
      <c r="G4" s="36"/>
      <c r="H4" s="36"/>
    </row>
    <row r="5" spans="1:8" ht="76.5" customHeight="1">
      <c r="A5" s="37" t="s">
        <v>0</v>
      </c>
      <c r="B5" s="39" t="s">
        <v>1</v>
      </c>
      <c r="C5" s="37" t="s">
        <v>2</v>
      </c>
      <c r="D5" s="37" t="s">
        <v>10</v>
      </c>
      <c r="E5" s="37" t="s">
        <v>3</v>
      </c>
      <c r="F5" s="37" t="s">
        <v>4</v>
      </c>
      <c r="G5" s="37" t="s">
        <v>5</v>
      </c>
      <c r="H5" s="39" t="s">
        <v>6</v>
      </c>
    </row>
    <row r="6" spans="1:8" ht="15" customHeight="1">
      <c r="A6" s="38"/>
      <c r="B6" s="40"/>
      <c r="C6" s="38"/>
      <c r="D6" s="38"/>
      <c r="E6" s="38"/>
      <c r="F6" s="38"/>
      <c r="G6" s="38"/>
      <c r="H6" s="40"/>
    </row>
    <row r="7" spans="1:10" ht="15">
      <c r="A7" s="17">
        <v>1</v>
      </c>
      <c r="B7" s="18" t="s">
        <v>22</v>
      </c>
      <c r="C7" s="17"/>
      <c r="D7" s="21">
        <f>38.17</f>
        <v>38.17</v>
      </c>
      <c r="E7" s="21">
        <f>E8*0.0478+0.001</f>
        <v>16.222408</v>
      </c>
      <c r="F7" s="34">
        <f>0.28+0.69</f>
        <v>0.97</v>
      </c>
      <c r="G7" s="30">
        <f>14.4049*0.0478-0.0004</f>
        <v>0.68815422</v>
      </c>
      <c r="H7" s="6">
        <f aca="true" t="shared" si="0" ref="H7:H13">G7/4749.3</f>
        <v>0.0001448959257153686</v>
      </c>
      <c r="J7" s="8"/>
    </row>
    <row r="8" spans="1:10" ht="15">
      <c r="A8" s="2">
        <v>2</v>
      </c>
      <c r="B8" s="3" t="s">
        <v>8</v>
      </c>
      <c r="C8" s="6"/>
      <c r="D8" s="6">
        <f>326.7</f>
        <v>326.7</v>
      </c>
      <c r="E8" s="30">
        <f>115.44-19.2+215.5+27.62</f>
        <v>339.36</v>
      </c>
      <c r="F8" s="30">
        <f>1.87+4.58</f>
        <v>6.45</v>
      </c>
      <c r="G8" s="30">
        <f>D8-E8-F8+1.7988</f>
        <v>-17.311200000000024</v>
      </c>
      <c r="H8" s="6">
        <f t="shared" si="0"/>
        <v>-0.003645000315836023</v>
      </c>
      <c r="J8" s="8"/>
    </row>
    <row r="9" spans="1:10" ht="15">
      <c r="A9" s="2">
        <v>3</v>
      </c>
      <c r="B9" s="3" t="s">
        <v>21</v>
      </c>
      <c r="C9" s="5" t="s">
        <v>46</v>
      </c>
      <c r="D9" s="5">
        <f>61256-60730</f>
        <v>526</v>
      </c>
      <c r="E9" s="30">
        <f>126.1626-21.027096+334.07+48.85-0.0002</f>
        <v>488.05530400000004</v>
      </c>
      <c r="F9" s="30">
        <f>6</f>
        <v>6</v>
      </c>
      <c r="G9" s="30">
        <f>14.4049+0.001</f>
        <v>14.405899999999999</v>
      </c>
      <c r="H9" s="6">
        <f t="shared" si="0"/>
        <v>0.003033268060556292</v>
      </c>
      <c r="J9" s="8"/>
    </row>
    <row r="10" spans="1:8" ht="15">
      <c r="A10" s="2">
        <v>4</v>
      </c>
      <c r="B10" s="3" t="s">
        <v>9</v>
      </c>
      <c r="C10" s="5"/>
      <c r="D10" s="5">
        <f>D8+D9</f>
        <v>852.7</v>
      </c>
      <c r="E10" s="32">
        <f>159.4207+532.81+55.21+38.66+30.8619+10.4513</f>
        <v>827.4138999999999</v>
      </c>
      <c r="F10" s="30">
        <f>F8+F9</f>
        <v>12.45</v>
      </c>
      <c r="G10" s="30">
        <v>0</v>
      </c>
      <c r="H10" s="6">
        <f t="shared" si="0"/>
        <v>0</v>
      </c>
    </row>
    <row r="11" spans="1:8" ht="15">
      <c r="A11" s="43">
        <v>5</v>
      </c>
      <c r="B11" s="26" t="s">
        <v>29</v>
      </c>
      <c r="C11" s="5"/>
      <c r="D11" s="6">
        <f>10025</f>
        <v>10025</v>
      </c>
      <c r="E11" s="30">
        <f>4682</f>
        <v>4682</v>
      </c>
      <c r="F11" s="30">
        <v>0</v>
      </c>
      <c r="G11" s="30">
        <f>3131.5007</f>
        <v>3131.5007</v>
      </c>
      <c r="H11" s="6">
        <f t="shared" si="0"/>
        <v>0.6593604741751415</v>
      </c>
    </row>
    <row r="12" spans="1:8" ht="15">
      <c r="A12" s="44"/>
      <c r="B12" s="26" t="s">
        <v>30</v>
      </c>
      <c r="C12" s="5"/>
      <c r="D12" s="6">
        <f>8270</f>
        <v>8270</v>
      </c>
      <c r="E12" s="30">
        <f>277</f>
        <v>277</v>
      </c>
      <c r="F12" s="30">
        <v>0</v>
      </c>
      <c r="G12" s="30">
        <v>0</v>
      </c>
      <c r="H12" s="6">
        <f t="shared" si="0"/>
        <v>0</v>
      </c>
    </row>
    <row r="13" spans="1:8" ht="15">
      <c r="A13" s="45"/>
      <c r="B13" s="22" t="s">
        <v>13</v>
      </c>
      <c r="C13" s="22"/>
      <c r="D13" s="23">
        <f>SUM(D11:D12)</f>
        <v>18295</v>
      </c>
      <c r="E13" s="35">
        <f>SUM(E11:E12)</f>
        <v>4959</v>
      </c>
      <c r="F13" s="35">
        <f>SUM(F11:F12)</f>
        <v>0</v>
      </c>
      <c r="G13" s="35">
        <f>SUM(G11:G12)</f>
        <v>3131.5007</v>
      </c>
      <c r="H13" s="6">
        <f t="shared" si="0"/>
        <v>0.6593604741751415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1"/>
      <c r="E17" s="1"/>
      <c r="F17" s="1"/>
    </row>
    <row r="18" spans="1:6" ht="15">
      <c r="A18" s="1"/>
      <c r="B18" s="1"/>
      <c r="C18" s="1"/>
      <c r="D18" s="11"/>
      <c r="E18" s="1"/>
      <c r="F18" s="1"/>
    </row>
    <row r="19" spans="1:6" ht="15">
      <c r="A19" s="1"/>
      <c r="B19" s="1"/>
      <c r="C19" s="1"/>
      <c r="D19" s="11"/>
      <c r="E19" s="1"/>
      <c r="F19" s="1"/>
    </row>
    <row r="20" spans="1:6" ht="15">
      <c r="A20" s="1"/>
      <c r="B20" s="1"/>
      <c r="C20" s="1"/>
      <c r="D20" s="11"/>
      <c r="E20" s="10"/>
      <c r="F20" s="1"/>
    </row>
    <row r="21" spans="1:6" ht="15">
      <c r="A21" s="1"/>
      <c r="B21" s="1"/>
      <c r="C21" s="1"/>
      <c r="D21" s="11"/>
      <c r="E21" s="1"/>
      <c r="F21" s="1"/>
    </row>
    <row r="22" spans="1:6" ht="15">
      <c r="A22" s="1"/>
      <c r="B22" s="1"/>
      <c r="C22" s="1"/>
      <c r="D22" s="11"/>
      <c r="E22" s="1"/>
      <c r="F22" s="1"/>
    </row>
    <row r="23" spans="1:6" ht="15">
      <c r="A23" s="1"/>
      <c r="B23" s="1"/>
      <c r="C23" s="1"/>
      <c r="D23" s="11"/>
      <c r="E23" s="1"/>
      <c r="F23" s="1"/>
    </row>
    <row r="24" spans="1:6" ht="15">
      <c r="A24" s="1"/>
      <c r="B24" s="1"/>
      <c r="C24" s="1"/>
      <c r="D24" s="11"/>
      <c r="E24" s="10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G5:G6"/>
    <mergeCell ref="H5:H6"/>
    <mergeCell ref="A11:A13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25"/>
  <sheetViews>
    <sheetView tabSelected="1"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8515625" style="0" customWidth="1"/>
    <col min="2" max="2" width="23.421875" style="0" customWidth="1"/>
    <col min="3" max="3" width="17.57421875" style="0" customWidth="1"/>
    <col min="4" max="4" width="14.710937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2.28125" style="0" customWidth="1"/>
    <col min="9" max="9" width="9.57421875" style="0" bestFit="1" customWidth="1"/>
  </cols>
  <sheetData>
    <row r="3" spans="2:3" ht="15.75">
      <c r="B3" s="14" t="s">
        <v>47</v>
      </c>
      <c r="C3" s="14"/>
    </row>
    <row r="4" spans="1:8" ht="15">
      <c r="A4" s="36" t="s">
        <v>20</v>
      </c>
      <c r="B4" s="36"/>
      <c r="C4" s="36"/>
      <c r="D4" s="36"/>
      <c r="E4" s="36"/>
      <c r="F4" s="36"/>
      <c r="G4" s="36"/>
      <c r="H4" s="36"/>
    </row>
    <row r="5" spans="1:8" ht="76.5" customHeight="1">
      <c r="A5" s="37" t="s">
        <v>0</v>
      </c>
      <c r="B5" s="39" t="s">
        <v>1</v>
      </c>
      <c r="C5" s="37" t="s">
        <v>2</v>
      </c>
      <c r="D5" s="37" t="s">
        <v>10</v>
      </c>
      <c r="E5" s="37" t="s">
        <v>3</v>
      </c>
      <c r="F5" s="37" t="s">
        <v>4</v>
      </c>
      <c r="G5" s="37" t="s">
        <v>5</v>
      </c>
      <c r="H5" s="39" t="s">
        <v>6</v>
      </c>
    </row>
    <row r="6" spans="1:8" ht="15" customHeight="1">
      <c r="A6" s="38"/>
      <c r="B6" s="40"/>
      <c r="C6" s="38"/>
      <c r="D6" s="38"/>
      <c r="E6" s="38"/>
      <c r="F6" s="38"/>
      <c r="G6" s="38"/>
      <c r="H6" s="40"/>
    </row>
    <row r="7" spans="1:10" ht="15">
      <c r="A7" s="17">
        <v>1</v>
      </c>
      <c r="B7" s="18" t="s">
        <v>22</v>
      </c>
      <c r="C7" s="17"/>
      <c r="D7" s="21">
        <f>48.32</f>
        <v>48.32</v>
      </c>
      <c r="E7" s="21">
        <f>E8*0.0478+0.0008</f>
        <v>16.695428000000003</v>
      </c>
      <c r="F7" s="34">
        <f>0.36+0.88</f>
        <v>1.24</v>
      </c>
      <c r="G7" s="30">
        <f>G8*0.0478-0.0004</f>
        <v>0.6882020200000001</v>
      </c>
      <c r="H7" s="6">
        <f aca="true" t="shared" si="0" ref="H7:H13">G7/4749.3</f>
        <v>0.0001449059903564736</v>
      </c>
      <c r="J7" s="8"/>
    </row>
    <row r="8" spans="1:10" ht="15">
      <c r="A8" s="2">
        <v>2</v>
      </c>
      <c r="B8" s="3" t="s">
        <v>8</v>
      </c>
      <c r="C8" s="6"/>
      <c r="D8" s="6">
        <f>438.7</f>
        <v>438.7</v>
      </c>
      <c r="E8" s="30">
        <f>190.74-54.4+180.62+32.3</f>
        <v>349.26000000000005</v>
      </c>
      <c r="F8" s="30">
        <f>2.51+6.15</f>
        <v>8.66</v>
      </c>
      <c r="G8" s="30">
        <f>14.4049+0.001</f>
        <v>14.405899999999999</v>
      </c>
      <c r="H8" s="6">
        <f t="shared" si="0"/>
        <v>0.003033268060556292</v>
      </c>
      <c r="J8" s="8"/>
    </row>
    <row r="9" spans="1:10" ht="15">
      <c r="A9" s="2">
        <v>3</v>
      </c>
      <c r="B9" s="3" t="s">
        <v>21</v>
      </c>
      <c r="C9" s="5" t="s">
        <v>48</v>
      </c>
      <c r="D9" s="5">
        <f>61856-61256</f>
        <v>600</v>
      </c>
      <c r="E9" s="30">
        <f>149.38-42.68+359.13+43.98</f>
        <v>509.81</v>
      </c>
      <c r="F9" s="30">
        <f>5</f>
        <v>5</v>
      </c>
      <c r="G9" s="30">
        <f>14.4049+0.001</f>
        <v>14.405899999999999</v>
      </c>
      <c r="H9" s="6">
        <f t="shared" si="0"/>
        <v>0.003033268060556292</v>
      </c>
      <c r="J9" s="8"/>
    </row>
    <row r="10" spans="1:8" ht="15">
      <c r="A10" s="2">
        <v>4</v>
      </c>
      <c r="B10" s="3" t="s">
        <v>9</v>
      </c>
      <c r="C10" s="5"/>
      <c r="D10" s="5">
        <f>D8+D9</f>
        <v>1038.7</v>
      </c>
      <c r="E10" s="46">
        <f>150.62+424.15+120.97+125.74+3.88+32.27+1.44</f>
        <v>859.07</v>
      </c>
      <c r="F10" s="30">
        <f>F8+F9</f>
        <v>13.66</v>
      </c>
      <c r="G10" s="30">
        <v>0</v>
      </c>
      <c r="H10" s="6">
        <f t="shared" si="0"/>
        <v>0</v>
      </c>
    </row>
    <row r="11" spans="1:8" ht="15">
      <c r="A11" s="43">
        <v>5</v>
      </c>
      <c r="B11" s="26" t="s">
        <v>29</v>
      </c>
      <c r="C11" s="5"/>
      <c r="D11" s="6">
        <f>6764</f>
        <v>6764</v>
      </c>
      <c r="E11" s="30">
        <f>7014</f>
        <v>7014</v>
      </c>
      <c r="F11" s="30">
        <v>0</v>
      </c>
      <c r="G11" s="30">
        <f>D11-E11-F11+0.0001</f>
        <v>-249.9999</v>
      </c>
      <c r="H11" s="6">
        <f t="shared" si="0"/>
        <v>-0.05263931526751311</v>
      </c>
    </row>
    <row r="12" spans="1:8" ht="15">
      <c r="A12" s="44"/>
      <c r="B12" s="26" t="s">
        <v>30</v>
      </c>
      <c r="C12" s="5"/>
      <c r="D12" s="6">
        <f>6688</f>
        <v>6688</v>
      </c>
      <c r="E12" s="30">
        <f>6110</f>
        <v>6110</v>
      </c>
      <c r="F12" s="30">
        <v>0</v>
      </c>
      <c r="G12" s="30">
        <f>D12-E12-F12+0.0002</f>
        <v>578.0002</v>
      </c>
      <c r="H12" s="6">
        <f t="shared" si="0"/>
        <v>0.12170218769081757</v>
      </c>
    </row>
    <row r="13" spans="1:8" ht="15">
      <c r="A13" s="45"/>
      <c r="B13" s="22" t="s">
        <v>13</v>
      </c>
      <c r="C13" s="22"/>
      <c r="D13" s="23">
        <f>SUM(D11:D12)</f>
        <v>13452</v>
      </c>
      <c r="E13" s="35">
        <f>SUM(E11:E12)</f>
        <v>13124</v>
      </c>
      <c r="F13" s="35">
        <f>SUM(F11:F12)</f>
        <v>0</v>
      </c>
      <c r="G13" s="35">
        <f>SUM(G11:G12)</f>
        <v>328.0002999999999</v>
      </c>
      <c r="H13" s="6">
        <f t="shared" si="0"/>
        <v>0.06906287242330447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1"/>
      <c r="E17" s="1"/>
      <c r="F17" s="1"/>
    </row>
    <row r="18" spans="1:6" ht="15">
      <c r="A18" s="1"/>
      <c r="B18" s="1"/>
      <c r="C18" s="1"/>
      <c r="D18" s="11"/>
      <c r="E18" s="1"/>
      <c r="F18" s="1"/>
    </row>
    <row r="19" spans="1:6" ht="15">
      <c r="A19" s="1"/>
      <c r="B19" s="1"/>
      <c r="C19" s="1"/>
      <c r="D19" s="11"/>
      <c r="E19" s="1"/>
      <c r="F19" s="1"/>
    </row>
    <row r="20" spans="1:6" ht="15">
      <c r="A20" s="1"/>
      <c r="B20" s="1"/>
      <c r="C20" s="1"/>
      <c r="D20" s="11"/>
      <c r="E20" s="10"/>
      <c r="F20" s="1"/>
    </row>
    <row r="21" spans="1:6" ht="15">
      <c r="A21" s="1"/>
      <c r="B21" s="1"/>
      <c r="C21" s="1"/>
      <c r="D21" s="11"/>
      <c r="E21" s="1"/>
      <c r="F21" s="1"/>
    </row>
    <row r="22" spans="1:6" ht="15">
      <c r="A22" s="1"/>
      <c r="B22" s="1"/>
      <c r="C22" s="1"/>
      <c r="D22" s="11"/>
      <c r="E22" s="1"/>
      <c r="F22" s="1"/>
    </row>
    <row r="23" spans="1:6" ht="15">
      <c r="A23" s="1"/>
      <c r="B23" s="1"/>
      <c r="C23" s="1"/>
      <c r="D23" s="11"/>
      <c r="E23" s="1"/>
      <c r="F23" s="1"/>
    </row>
    <row r="24" spans="1:6" ht="15">
      <c r="A24" s="1"/>
      <c r="B24" s="1"/>
      <c r="C24" s="1"/>
      <c r="D24" s="11"/>
      <c r="E24" s="10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G5:G6"/>
    <mergeCell ref="H5:H6"/>
    <mergeCell ref="A11:A13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9"/>
  <sheetViews>
    <sheetView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8515625" style="0" customWidth="1"/>
    <col min="2" max="2" width="23.421875" style="0" customWidth="1"/>
    <col min="3" max="3" width="17.57421875" style="0" customWidth="1"/>
    <col min="4" max="4" width="16.140625" style="0" customWidth="1"/>
    <col min="5" max="5" width="15.421875" style="0" customWidth="1"/>
    <col min="6" max="6" width="14.7109375" style="0" customWidth="1"/>
    <col min="7" max="7" width="16.7109375" style="0" customWidth="1"/>
    <col min="8" max="8" width="15.8515625" style="0" customWidth="1"/>
    <col min="9" max="9" width="12.7109375" style="0" customWidth="1"/>
    <col min="10" max="10" width="12.28125" style="0" customWidth="1"/>
    <col min="11" max="11" width="9.57421875" style="0" bestFit="1" customWidth="1"/>
  </cols>
  <sheetData>
    <row r="3" ht="15.75">
      <c r="C3" s="14" t="s">
        <v>25</v>
      </c>
    </row>
    <row r="4" spans="1:10" ht="15">
      <c r="A4" s="36" t="s">
        <v>20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76.5" customHeight="1">
      <c r="A5" s="37" t="s">
        <v>0</v>
      </c>
      <c r="B5" s="39" t="s">
        <v>1</v>
      </c>
      <c r="C5" s="37" t="s">
        <v>2</v>
      </c>
      <c r="D5" s="41" t="s">
        <v>7</v>
      </c>
      <c r="E5" s="42"/>
      <c r="F5" s="37" t="s">
        <v>10</v>
      </c>
      <c r="G5" s="37" t="s">
        <v>3</v>
      </c>
      <c r="H5" s="37" t="s">
        <v>4</v>
      </c>
      <c r="I5" s="37" t="s">
        <v>5</v>
      </c>
      <c r="J5" s="39" t="s">
        <v>6</v>
      </c>
    </row>
    <row r="6" spans="1:10" ht="15.75">
      <c r="A6" s="38"/>
      <c r="B6" s="40"/>
      <c r="C6" s="38"/>
      <c r="D6" s="15" t="s">
        <v>11</v>
      </c>
      <c r="E6" s="16" t="s">
        <v>12</v>
      </c>
      <c r="F6" s="38"/>
      <c r="G6" s="38"/>
      <c r="H6" s="38"/>
      <c r="I6" s="38"/>
      <c r="J6" s="40"/>
    </row>
    <row r="7" spans="1:12" ht="15">
      <c r="A7" s="17">
        <v>1</v>
      </c>
      <c r="B7" s="18" t="s">
        <v>22</v>
      </c>
      <c r="C7" s="17"/>
      <c r="D7" s="19"/>
      <c r="E7" s="20"/>
      <c r="F7" s="21">
        <f>25.87+0.31+0.31</f>
        <v>26.49</v>
      </c>
      <c r="G7" s="21">
        <f>G8*0.0478</f>
        <v>19.178794000000003</v>
      </c>
      <c r="H7" s="21">
        <f>0.31+0.31</f>
        <v>0.62</v>
      </c>
      <c r="I7" s="5">
        <f>I8*0.0478</f>
        <v>0.6842331</v>
      </c>
      <c r="J7" s="6">
        <f>I7/4587.3</f>
        <v>0.00014915813223464783</v>
      </c>
      <c r="L7" s="8"/>
    </row>
    <row r="8" spans="1:12" ht="15">
      <c r="A8" s="2">
        <v>2</v>
      </c>
      <c r="B8" s="3" t="s">
        <v>8</v>
      </c>
      <c r="C8" s="6"/>
      <c r="D8" s="4"/>
      <c r="E8" s="4"/>
      <c r="F8" s="6">
        <f>541.23+4.7+4.7</f>
        <v>550.6300000000001</v>
      </c>
      <c r="G8" s="5">
        <f>92.23+262.93+46.07</f>
        <v>401.23</v>
      </c>
      <c r="H8" s="5">
        <f>4.7+4.7</f>
        <v>9.4</v>
      </c>
      <c r="I8" s="5">
        <f>14.3145</f>
        <v>14.3145</v>
      </c>
      <c r="J8" s="6">
        <f aca="true" t="shared" si="0" ref="J8:J17">I8/4587.3</f>
        <v>0.0031204630174612516</v>
      </c>
      <c r="L8" s="8"/>
    </row>
    <row r="9" spans="1:12" ht="15">
      <c r="A9" s="2">
        <v>3</v>
      </c>
      <c r="B9" s="3" t="s">
        <v>21</v>
      </c>
      <c r="C9" s="5" t="s">
        <v>26</v>
      </c>
      <c r="D9" s="4"/>
      <c r="E9" s="4"/>
      <c r="F9" s="5">
        <f>56448-55824</f>
        <v>624</v>
      </c>
      <c r="G9" s="5">
        <f>160.05+311.24+25.47</f>
        <v>496.76</v>
      </c>
      <c r="H9" s="5">
        <f>14</f>
        <v>14</v>
      </c>
      <c r="I9" s="5">
        <f>14.3145</f>
        <v>14.3145</v>
      </c>
      <c r="J9" s="6">
        <f t="shared" si="0"/>
        <v>0.0031204630174612516</v>
      </c>
      <c r="L9" s="8"/>
    </row>
    <row r="10" spans="1:10" ht="15">
      <c r="A10" s="2">
        <v>4</v>
      </c>
      <c r="B10" s="3" t="s">
        <v>9</v>
      </c>
      <c r="C10" s="5"/>
      <c r="D10" s="4"/>
      <c r="E10" s="4"/>
      <c r="F10" s="5">
        <f>F8+F9</f>
        <v>1174.63</v>
      </c>
      <c r="G10" s="5">
        <f>203.78+536.18+57.42+88.6+12.01</f>
        <v>897.9899999999999</v>
      </c>
      <c r="H10" s="5">
        <f>H8+H9</f>
        <v>23.4</v>
      </c>
      <c r="I10" s="5">
        <v>0</v>
      </c>
      <c r="J10" s="6">
        <f t="shared" si="0"/>
        <v>0</v>
      </c>
    </row>
    <row r="11" spans="1:10" ht="15">
      <c r="A11" s="43">
        <v>5</v>
      </c>
      <c r="B11" s="3" t="s">
        <v>14</v>
      </c>
      <c r="C11" s="5"/>
      <c r="D11" s="9">
        <v>10809</v>
      </c>
      <c r="E11" s="9">
        <v>10965</v>
      </c>
      <c r="F11" s="6">
        <f>(E11-D11)*6*100.29%-0.714</f>
        <v>938.0004</v>
      </c>
      <c r="G11" s="5">
        <v>0</v>
      </c>
      <c r="H11" s="5">
        <v>0</v>
      </c>
      <c r="I11" s="5">
        <f>F11-G11-H11</f>
        <v>938.0004</v>
      </c>
      <c r="J11" s="6">
        <f t="shared" si="0"/>
        <v>0.2044776666012687</v>
      </c>
    </row>
    <row r="12" spans="1:10" ht="15">
      <c r="A12" s="44"/>
      <c r="B12" s="3" t="s">
        <v>15</v>
      </c>
      <c r="C12" s="5"/>
      <c r="D12" s="9">
        <v>11130</v>
      </c>
      <c r="E12" s="9">
        <v>11278</v>
      </c>
      <c r="F12" s="6">
        <f>(E12-D12)*6*100.29%-0.575</f>
        <v>890.0002000000001</v>
      </c>
      <c r="G12" s="5">
        <v>0</v>
      </c>
      <c r="H12" s="5">
        <v>0</v>
      </c>
      <c r="I12" s="5">
        <f>F12-G12-H12</f>
        <v>890.0002000000001</v>
      </c>
      <c r="J12" s="6">
        <f t="shared" si="0"/>
        <v>0.19401395156192097</v>
      </c>
    </row>
    <row r="13" spans="1:10" ht="15">
      <c r="A13" s="44"/>
      <c r="B13" s="3" t="s">
        <v>16</v>
      </c>
      <c r="C13" s="5"/>
      <c r="D13" s="9">
        <v>55439</v>
      </c>
      <c r="E13" s="9">
        <v>56026</v>
      </c>
      <c r="F13" s="6">
        <f>(E13-D13)*1*100.29%+0.3</f>
        <v>589.0023</v>
      </c>
      <c r="G13" s="5">
        <v>0</v>
      </c>
      <c r="H13" s="5">
        <v>0</v>
      </c>
      <c r="I13" s="5">
        <f>F13-G13-H13</f>
        <v>589.0023</v>
      </c>
      <c r="J13" s="6">
        <f t="shared" si="0"/>
        <v>0.1283984696880518</v>
      </c>
    </row>
    <row r="14" spans="1:10" ht="15">
      <c r="A14" s="44"/>
      <c r="B14" s="3" t="s">
        <v>17</v>
      </c>
      <c r="C14" s="5"/>
      <c r="D14" s="9">
        <v>57988</v>
      </c>
      <c r="E14" s="9">
        <v>58649</v>
      </c>
      <c r="F14" s="6">
        <f>(E14-D14)*1*100.29%+0.08</f>
        <v>662.9969000000001</v>
      </c>
      <c r="G14" s="5">
        <v>0</v>
      </c>
      <c r="H14" s="5">
        <v>0</v>
      </c>
      <c r="I14" s="5">
        <f>F14-G14-H14</f>
        <v>662.9969000000001</v>
      </c>
      <c r="J14" s="6">
        <f t="shared" si="0"/>
        <v>0.14452878599611974</v>
      </c>
    </row>
    <row r="15" spans="1:12" ht="15">
      <c r="A15" s="45"/>
      <c r="B15" s="22" t="s">
        <v>13</v>
      </c>
      <c r="C15" s="22"/>
      <c r="D15" s="7"/>
      <c r="E15" s="22"/>
      <c r="F15" s="23">
        <f>SUM(F11:F14)</f>
        <v>3079.9998</v>
      </c>
      <c r="G15" s="23">
        <f>SUM(G11:G14)</f>
        <v>0</v>
      </c>
      <c r="H15" s="23">
        <f>SUM(H11:H14)</f>
        <v>0</v>
      </c>
      <c r="I15" s="23">
        <f>SUM(I11:I14)</f>
        <v>3079.9998</v>
      </c>
      <c r="J15" s="6">
        <f t="shared" si="0"/>
        <v>0.6714188738473612</v>
      </c>
      <c r="K15" s="13"/>
      <c r="L15" s="8"/>
    </row>
    <row r="16" spans="1:12" ht="15">
      <c r="A16" s="1"/>
      <c r="B16" s="1"/>
      <c r="C16" s="1"/>
      <c r="D16" s="1"/>
      <c r="E16" s="1" t="s">
        <v>18</v>
      </c>
      <c r="F16" s="24">
        <f aca="true" t="shared" si="1" ref="F16:I17">F11+F13</f>
        <v>1527.0027</v>
      </c>
      <c r="G16" s="24">
        <f t="shared" si="1"/>
        <v>0</v>
      </c>
      <c r="H16" s="24">
        <f t="shared" si="1"/>
        <v>0</v>
      </c>
      <c r="I16" s="24">
        <f t="shared" si="1"/>
        <v>1527.0027</v>
      </c>
      <c r="J16" s="6">
        <f t="shared" si="0"/>
        <v>0.3328761362893205</v>
      </c>
      <c r="K16" s="12"/>
      <c r="L16" s="12"/>
    </row>
    <row r="17" spans="1:10" ht="15">
      <c r="A17" s="1"/>
      <c r="B17" s="1"/>
      <c r="C17" s="1"/>
      <c r="D17" s="1"/>
      <c r="E17" s="1" t="s">
        <v>19</v>
      </c>
      <c r="F17" s="12">
        <f t="shared" si="1"/>
        <v>1552.9971</v>
      </c>
      <c r="G17" s="12">
        <f t="shared" si="1"/>
        <v>0</v>
      </c>
      <c r="H17" s="12">
        <f t="shared" si="1"/>
        <v>0</v>
      </c>
      <c r="I17" s="12">
        <f t="shared" si="1"/>
        <v>1552.9971</v>
      </c>
      <c r="J17" s="6">
        <f t="shared" si="0"/>
        <v>0.33854273755804065</v>
      </c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1"/>
      <c r="G21" s="1"/>
      <c r="H21" s="1"/>
    </row>
    <row r="22" spans="1:8" ht="15">
      <c r="A22" s="1"/>
      <c r="B22" s="1"/>
      <c r="C22" s="1"/>
      <c r="D22" s="1"/>
      <c r="E22" s="1"/>
      <c r="F22" s="11"/>
      <c r="G22" s="1"/>
      <c r="H22" s="1"/>
    </row>
    <row r="23" spans="1:8" ht="15">
      <c r="A23" s="1"/>
      <c r="B23" s="1"/>
      <c r="C23" s="1"/>
      <c r="D23" s="1"/>
      <c r="E23" s="1"/>
      <c r="F23" s="11"/>
      <c r="G23" s="1"/>
      <c r="H23" s="1"/>
    </row>
    <row r="24" spans="1:8" ht="15">
      <c r="A24" s="1"/>
      <c r="B24" s="1"/>
      <c r="C24" s="1"/>
      <c r="D24" s="1"/>
      <c r="E24" s="1"/>
      <c r="F24" s="11"/>
      <c r="G24" s="10"/>
      <c r="H24" s="1"/>
    </row>
    <row r="25" spans="1:8" ht="15">
      <c r="A25" s="1"/>
      <c r="B25" s="1"/>
      <c r="C25" s="1"/>
      <c r="D25" s="1"/>
      <c r="E25" s="1"/>
      <c r="F25" s="11"/>
      <c r="G25" s="1"/>
      <c r="H25" s="1"/>
    </row>
    <row r="26" spans="1:8" ht="15">
      <c r="A26" s="1"/>
      <c r="B26" s="1"/>
      <c r="C26" s="1"/>
      <c r="D26" s="1"/>
      <c r="E26" s="1"/>
      <c r="F26" s="11"/>
      <c r="G26" s="1"/>
      <c r="H26" s="1"/>
    </row>
    <row r="27" spans="1:8" ht="15">
      <c r="A27" s="1"/>
      <c r="B27" s="1"/>
      <c r="C27" s="1"/>
      <c r="D27" s="1"/>
      <c r="E27" s="1"/>
      <c r="F27" s="11"/>
      <c r="G27" s="1"/>
      <c r="H27" s="1"/>
    </row>
    <row r="28" spans="1:8" ht="15">
      <c r="A28" s="1"/>
      <c r="B28" s="1"/>
      <c r="C28" s="1"/>
      <c r="D28" s="1"/>
      <c r="E28" s="1"/>
      <c r="F28" s="11"/>
      <c r="G28" s="10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</sheetData>
  <sheetProtection/>
  <mergeCells count="11">
    <mergeCell ref="J5:J6"/>
    <mergeCell ref="A11:A15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9" sqref="D9"/>
    </sheetView>
  </sheetViews>
  <sheetFormatPr defaultColWidth="9.140625" defaultRowHeight="15"/>
  <cols>
    <col min="1" max="1" width="4.8515625" style="0" customWidth="1"/>
    <col min="2" max="2" width="23.421875" style="0" customWidth="1"/>
    <col min="3" max="3" width="17.57421875" style="0" customWidth="1"/>
    <col min="4" max="4" width="14.710937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2.28125" style="0" customWidth="1"/>
    <col min="9" max="9" width="9.57421875" style="0" bestFit="1" customWidth="1"/>
  </cols>
  <sheetData>
    <row r="3" spans="2:3" ht="15.75">
      <c r="B3" s="14" t="s">
        <v>27</v>
      </c>
      <c r="C3" s="14"/>
    </row>
    <row r="4" spans="1:8" ht="15">
      <c r="A4" s="36" t="s">
        <v>20</v>
      </c>
      <c r="B4" s="36"/>
      <c r="C4" s="36"/>
      <c r="D4" s="36"/>
      <c r="E4" s="36"/>
      <c r="F4" s="36"/>
      <c r="G4" s="36"/>
      <c r="H4" s="36"/>
    </row>
    <row r="5" spans="1:8" ht="76.5" customHeight="1">
      <c r="A5" s="37" t="s">
        <v>0</v>
      </c>
      <c r="B5" s="39" t="s">
        <v>1</v>
      </c>
      <c r="C5" s="37" t="s">
        <v>2</v>
      </c>
      <c r="D5" s="37" t="s">
        <v>10</v>
      </c>
      <c r="E5" s="37" t="s">
        <v>3</v>
      </c>
      <c r="F5" s="37" t="s">
        <v>4</v>
      </c>
      <c r="G5" s="37" t="s">
        <v>5</v>
      </c>
      <c r="H5" s="39" t="s">
        <v>6</v>
      </c>
    </row>
    <row r="6" spans="1:8" ht="15" customHeight="1">
      <c r="A6" s="38"/>
      <c r="B6" s="40"/>
      <c r="C6" s="38"/>
      <c r="D6" s="38"/>
      <c r="E6" s="38"/>
      <c r="F6" s="38"/>
      <c r="G6" s="38"/>
      <c r="H6" s="40"/>
    </row>
    <row r="7" spans="1:10" ht="15">
      <c r="A7" s="17">
        <v>1</v>
      </c>
      <c r="B7" s="18" t="s">
        <v>22</v>
      </c>
      <c r="C7" s="17"/>
      <c r="D7" s="21">
        <f>22.36+0.35+0.35</f>
        <v>23.060000000000002</v>
      </c>
      <c r="E7" s="21">
        <f>E8*0.0478</f>
        <v>18.95031</v>
      </c>
      <c r="F7" s="21">
        <f>0.35+0.35</f>
        <v>0.7</v>
      </c>
      <c r="G7" s="5">
        <f>G8*0.0478</f>
        <v>0.68855422</v>
      </c>
      <c r="H7" s="6">
        <f>G7/4587.3</f>
        <v>0.00015010010681664596</v>
      </c>
      <c r="J7" s="8"/>
    </row>
    <row r="8" spans="1:10" ht="15">
      <c r="A8" s="2">
        <v>2</v>
      </c>
      <c r="B8" s="3" t="s">
        <v>8</v>
      </c>
      <c r="C8" s="6"/>
      <c r="D8" s="6">
        <f>467.73+5.21+5.21</f>
        <v>478.15</v>
      </c>
      <c r="E8" s="5">
        <f>84.21+263.57+48.67</f>
        <v>396.45</v>
      </c>
      <c r="F8" s="5">
        <f>5.21+5.21</f>
        <v>10.42</v>
      </c>
      <c r="G8" s="5">
        <f>14.4049</f>
        <v>14.4049</v>
      </c>
      <c r="H8" s="6">
        <f aca="true" t="shared" si="0" ref="H8:H13">G8/4587.3</f>
        <v>0.0031401695986746016</v>
      </c>
      <c r="J8" s="8"/>
    </row>
    <row r="9" spans="1:10" ht="15">
      <c r="A9" s="2">
        <v>3</v>
      </c>
      <c r="B9" s="3" t="s">
        <v>21</v>
      </c>
      <c r="C9" s="5" t="s">
        <v>28</v>
      </c>
      <c r="D9" s="5">
        <f>57017-56448</f>
        <v>569</v>
      </c>
      <c r="E9" s="5">
        <f>150.35+323.97+19.4</f>
        <v>493.72</v>
      </c>
      <c r="F9" s="5">
        <f>14</f>
        <v>14</v>
      </c>
      <c r="G9" s="5">
        <f>14.4049</f>
        <v>14.4049</v>
      </c>
      <c r="H9" s="6">
        <f t="shared" si="0"/>
        <v>0.0031401695986746016</v>
      </c>
      <c r="J9" s="8"/>
    </row>
    <row r="10" spans="1:8" ht="15">
      <c r="A10" s="2">
        <v>4</v>
      </c>
      <c r="B10" s="3" t="s">
        <v>9</v>
      </c>
      <c r="C10" s="5"/>
      <c r="D10" s="5">
        <f>D8+D9</f>
        <v>1047.15</v>
      </c>
      <c r="E10" s="5">
        <f>186.06+557.48+61.43+80.68+4.52</f>
        <v>890.1699999999998</v>
      </c>
      <c r="F10" s="5">
        <f>F8+F9</f>
        <v>24.42</v>
      </c>
      <c r="G10" s="5">
        <v>0</v>
      </c>
      <c r="H10" s="6">
        <f t="shared" si="0"/>
        <v>0</v>
      </c>
    </row>
    <row r="11" spans="1:8" ht="15">
      <c r="A11" s="43">
        <v>5</v>
      </c>
      <c r="B11" s="25" t="s">
        <v>29</v>
      </c>
      <c r="C11" s="5"/>
      <c r="D11" s="6">
        <v>11974</v>
      </c>
      <c r="E11" s="5">
        <v>6489</v>
      </c>
      <c r="F11" s="5">
        <v>0</v>
      </c>
      <c r="G11" s="5">
        <f>2697.6786+433.8212</f>
        <v>3131.4998</v>
      </c>
      <c r="H11" s="6">
        <f t="shared" si="0"/>
        <v>0.6826455213306302</v>
      </c>
    </row>
    <row r="12" spans="1:8" ht="15">
      <c r="A12" s="44"/>
      <c r="B12" s="25" t="s">
        <v>30</v>
      </c>
      <c r="C12" s="5"/>
      <c r="D12" s="6">
        <v>7460</v>
      </c>
      <c r="E12" s="5">
        <v>3824</v>
      </c>
      <c r="F12" s="5">
        <v>0</v>
      </c>
      <c r="G12" s="5">
        <v>0</v>
      </c>
      <c r="H12" s="6">
        <f t="shared" si="0"/>
        <v>0</v>
      </c>
    </row>
    <row r="13" spans="1:8" ht="15">
      <c r="A13" s="45"/>
      <c r="B13" s="22" t="s">
        <v>13</v>
      </c>
      <c r="C13" s="22"/>
      <c r="D13" s="23">
        <f>SUM(D11:D12)</f>
        <v>19434</v>
      </c>
      <c r="E13" s="23">
        <f>SUM(E11:E12)</f>
        <v>10313</v>
      </c>
      <c r="F13" s="23">
        <f>SUM(F11:F12)</f>
        <v>0</v>
      </c>
      <c r="G13" s="23">
        <f>SUM(G11:G12)</f>
        <v>3131.4998</v>
      </c>
      <c r="H13" s="6">
        <f t="shared" si="0"/>
        <v>0.6826455213306302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1"/>
      <c r="E17" s="1"/>
      <c r="F17" s="1"/>
    </row>
    <row r="18" spans="1:6" ht="15">
      <c r="A18" s="1"/>
      <c r="B18" s="1"/>
      <c r="C18" s="1"/>
      <c r="D18" s="11"/>
      <c r="E18" s="1"/>
      <c r="F18" s="1"/>
    </row>
    <row r="19" spans="1:6" ht="15">
      <c r="A19" s="1"/>
      <c r="B19" s="1"/>
      <c r="C19" s="1"/>
      <c r="D19" s="11"/>
      <c r="E19" s="1"/>
      <c r="F19" s="1"/>
    </row>
    <row r="20" spans="1:6" ht="15">
      <c r="A20" s="1"/>
      <c r="B20" s="1"/>
      <c r="C20" s="1"/>
      <c r="D20" s="11"/>
      <c r="E20" s="10"/>
      <c r="F20" s="1"/>
    </row>
    <row r="21" spans="1:6" ht="15">
      <c r="A21" s="1"/>
      <c r="B21" s="1"/>
      <c r="C21" s="1"/>
      <c r="D21" s="11"/>
      <c r="E21" s="1"/>
      <c r="F21" s="1"/>
    </row>
    <row r="22" spans="1:6" ht="15">
      <c r="A22" s="1"/>
      <c r="B22" s="1"/>
      <c r="C22" s="1"/>
      <c r="D22" s="11"/>
      <c r="E22" s="1"/>
      <c r="F22" s="1"/>
    </row>
    <row r="23" spans="1:6" ht="15">
      <c r="A23" s="1"/>
      <c r="B23" s="1"/>
      <c r="C23" s="1"/>
      <c r="D23" s="11"/>
      <c r="E23" s="1"/>
      <c r="F23" s="1"/>
    </row>
    <row r="24" spans="1:6" ht="15">
      <c r="A24" s="1"/>
      <c r="B24" s="1"/>
      <c r="C24" s="1"/>
      <c r="D24" s="11"/>
      <c r="E24" s="10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G5:G6"/>
    <mergeCell ref="H5:H6"/>
    <mergeCell ref="A11:A13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8515625" style="0" customWidth="1"/>
    <col min="2" max="2" width="23.421875" style="0" customWidth="1"/>
    <col min="3" max="3" width="17.57421875" style="0" customWidth="1"/>
    <col min="4" max="4" width="14.710937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2.28125" style="0" customWidth="1"/>
    <col min="9" max="9" width="9.57421875" style="0" bestFit="1" customWidth="1"/>
  </cols>
  <sheetData>
    <row r="3" spans="2:3" ht="15.75">
      <c r="B3" s="14" t="s">
        <v>31</v>
      </c>
      <c r="C3" s="14"/>
    </row>
    <row r="4" spans="1:8" ht="15">
      <c r="A4" s="36" t="s">
        <v>20</v>
      </c>
      <c r="B4" s="36"/>
      <c r="C4" s="36"/>
      <c r="D4" s="36"/>
      <c r="E4" s="36"/>
      <c r="F4" s="36"/>
      <c r="G4" s="36"/>
      <c r="H4" s="36"/>
    </row>
    <row r="5" spans="1:8" ht="76.5" customHeight="1">
      <c r="A5" s="37" t="s">
        <v>0</v>
      </c>
      <c r="B5" s="39" t="s">
        <v>1</v>
      </c>
      <c r="C5" s="37" t="s">
        <v>2</v>
      </c>
      <c r="D5" s="37" t="s">
        <v>10</v>
      </c>
      <c r="E5" s="37" t="s">
        <v>3</v>
      </c>
      <c r="F5" s="37" t="s">
        <v>4</v>
      </c>
      <c r="G5" s="37" t="s">
        <v>5</v>
      </c>
      <c r="H5" s="39" t="s">
        <v>6</v>
      </c>
    </row>
    <row r="6" spans="1:8" ht="15" customHeight="1">
      <c r="A6" s="38"/>
      <c r="B6" s="40"/>
      <c r="C6" s="38"/>
      <c r="D6" s="38"/>
      <c r="E6" s="38"/>
      <c r="F6" s="38"/>
      <c r="G6" s="38"/>
      <c r="H6" s="40"/>
    </row>
    <row r="7" spans="1:10" ht="15">
      <c r="A7" s="17">
        <v>1</v>
      </c>
      <c r="B7" s="18" t="s">
        <v>22</v>
      </c>
      <c r="C7" s="17"/>
      <c r="D7" s="21">
        <f>49.35</f>
        <v>49.35</v>
      </c>
      <c r="E7" s="21">
        <f>E8*0.0478</f>
        <v>16.656249380000002</v>
      </c>
      <c r="F7" s="21">
        <f>0.52+0.52</f>
        <v>1.04</v>
      </c>
      <c r="G7" s="5">
        <f>G8*0.0478</f>
        <v>0.68855422</v>
      </c>
      <c r="H7" s="6">
        <f>G7/4549.6</f>
        <v>0.00015134390276068225</v>
      </c>
      <c r="J7" s="8"/>
    </row>
    <row r="8" spans="1:10" ht="15">
      <c r="A8" s="2">
        <v>2</v>
      </c>
      <c r="B8" s="3" t="s">
        <v>8</v>
      </c>
      <c r="C8" s="6"/>
      <c r="D8" s="6">
        <f>523.7</f>
        <v>523.7</v>
      </c>
      <c r="E8" s="5">
        <f>78.7771+252.01+17.67</f>
        <v>348.4571</v>
      </c>
      <c r="F8" s="5">
        <f>11.38</f>
        <v>11.38</v>
      </c>
      <c r="G8" s="5">
        <f>14.4049</f>
        <v>14.4049</v>
      </c>
      <c r="H8" s="6">
        <f aca="true" t="shared" si="0" ref="H8:H13">G8/4549.6</f>
        <v>0.0031661904343238964</v>
      </c>
      <c r="J8" s="8"/>
    </row>
    <row r="9" spans="1:10" ht="15">
      <c r="A9" s="2">
        <v>3</v>
      </c>
      <c r="B9" s="3" t="s">
        <v>21</v>
      </c>
      <c r="C9" s="5" t="s">
        <v>32</v>
      </c>
      <c r="D9" s="5">
        <f>474+148</f>
        <v>622</v>
      </c>
      <c r="E9" s="5">
        <f>150.35+333.62+28.52</f>
        <v>512.49</v>
      </c>
      <c r="F9" s="5">
        <f>9</f>
        <v>9</v>
      </c>
      <c r="G9" s="5">
        <f>14.4049</f>
        <v>14.4049</v>
      </c>
      <c r="H9" s="6">
        <f t="shared" si="0"/>
        <v>0.0031661904343238964</v>
      </c>
      <c r="J9" s="8"/>
    </row>
    <row r="10" spans="1:8" ht="15">
      <c r="A10" s="2">
        <v>4</v>
      </c>
      <c r="B10" s="3" t="s">
        <v>9</v>
      </c>
      <c r="C10" s="5"/>
      <c r="D10" s="5">
        <f>D8+D9</f>
        <v>1145.7</v>
      </c>
      <c r="E10" s="5">
        <f>186.06+553.65+37.06+85.15+4.46</f>
        <v>866.38</v>
      </c>
      <c r="F10" s="5">
        <f>20.38</f>
        <v>20.38</v>
      </c>
      <c r="G10" s="5">
        <v>0</v>
      </c>
      <c r="H10" s="6">
        <f t="shared" si="0"/>
        <v>0</v>
      </c>
    </row>
    <row r="11" spans="1:8" ht="15">
      <c r="A11" s="43">
        <v>5</v>
      </c>
      <c r="B11" s="26" t="s">
        <v>29</v>
      </c>
      <c r="C11" s="5"/>
      <c r="D11" s="6">
        <f>5428</f>
        <v>5428</v>
      </c>
      <c r="E11" s="5">
        <f>7966.3</f>
        <v>7966.3</v>
      </c>
      <c r="F11" s="5">
        <v>0</v>
      </c>
      <c r="G11" s="5">
        <f>-2075.64</f>
        <v>-2075.64</v>
      </c>
      <c r="H11" s="6">
        <f t="shared" si="0"/>
        <v>-0.456224723052576</v>
      </c>
    </row>
    <row r="12" spans="1:8" ht="15">
      <c r="A12" s="44"/>
      <c r="B12" s="26" t="s">
        <v>30</v>
      </c>
      <c r="C12" s="5"/>
      <c r="D12" s="6">
        <f>5380</f>
        <v>5380</v>
      </c>
      <c r="E12" s="5">
        <f>12265.2</f>
        <v>12265.2</v>
      </c>
      <c r="F12" s="5">
        <v>0</v>
      </c>
      <c r="G12" s="5">
        <f>-5872.5161</f>
        <v>-5872.5161</v>
      </c>
      <c r="H12" s="6">
        <f t="shared" si="0"/>
        <v>-1.2907763539651835</v>
      </c>
    </row>
    <row r="13" spans="1:8" ht="15">
      <c r="A13" s="45"/>
      <c r="B13" s="22" t="s">
        <v>13</v>
      </c>
      <c r="C13" s="22"/>
      <c r="D13" s="23">
        <f>SUM(D11:D12)</f>
        <v>10808</v>
      </c>
      <c r="E13" s="23">
        <f>SUM(E11:E12)</f>
        <v>20231.5</v>
      </c>
      <c r="F13" s="23">
        <f>SUM(F11:F12)</f>
        <v>0</v>
      </c>
      <c r="G13" s="23">
        <f>SUM(G11:G12)</f>
        <v>-7948.1561</v>
      </c>
      <c r="H13" s="6">
        <f t="shared" si="0"/>
        <v>-1.7470010770177598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1"/>
      <c r="E17" s="1"/>
      <c r="F17" s="1"/>
    </row>
    <row r="18" spans="1:6" ht="15">
      <c r="A18" s="1"/>
      <c r="B18" s="1"/>
      <c r="C18" s="1"/>
      <c r="D18" s="11"/>
      <c r="E18" s="1"/>
      <c r="F18" s="1"/>
    </row>
    <row r="19" spans="1:6" ht="15">
      <c r="A19" s="1"/>
      <c r="B19" s="1"/>
      <c r="C19" s="1"/>
      <c r="D19" s="11"/>
      <c r="E19" s="1"/>
      <c r="F19" s="1"/>
    </row>
    <row r="20" spans="1:6" ht="15">
      <c r="A20" s="1"/>
      <c r="B20" s="1"/>
      <c r="C20" s="1"/>
      <c r="D20" s="11"/>
      <c r="E20" s="10"/>
      <c r="F20" s="1"/>
    </row>
    <row r="21" spans="1:6" ht="15">
      <c r="A21" s="1"/>
      <c r="B21" s="1"/>
      <c r="C21" s="1"/>
      <c r="D21" s="11"/>
      <c r="E21" s="1"/>
      <c r="F21" s="1"/>
    </row>
    <row r="22" spans="1:6" ht="15">
      <c r="A22" s="1"/>
      <c r="B22" s="1"/>
      <c r="C22" s="1"/>
      <c r="D22" s="11"/>
      <c r="E22" s="1"/>
      <c r="F22" s="1"/>
    </row>
    <row r="23" spans="1:6" ht="15">
      <c r="A23" s="1"/>
      <c r="B23" s="1"/>
      <c r="C23" s="1"/>
      <c r="D23" s="11"/>
      <c r="E23" s="1"/>
      <c r="F23" s="1"/>
    </row>
    <row r="24" spans="1:6" ht="15">
      <c r="A24" s="1"/>
      <c r="B24" s="1"/>
      <c r="C24" s="1"/>
      <c r="D24" s="11"/>
      <c r="E24" s="10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G5:G6"/>
    <mergeCell ref="H5:H6"/>
    <mergeCell ref="A11:A13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9" sqref="B9"/>
    </sheetView>
  </sheetViews>
  <sheetFormatPr defaultColWidth="9.140625" defaultRowHeight="15"/>
  <cols>
    <col min="1" max="1" width="4.8515625" style="0" customWidth="1"/>
    <col min="2" max="2" width="23.421875" style="0" customWidth="1"/>
    <col min="3" max="3" width="17.57421875" style="0" customWidth="1"/>
    <col min="4" max="4" width="14.710937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2.28125" style="0" customWidth="1"/>
    <col min="9" max="9" width="9.57421875" style="0" bestFit="1" customWidth="1"/>
  </cols>
  <sheetData>
    <row r="3" spans="2:3" ht="15.75">
      <c r="B3" s="14" t="s">
        <v>33</v>
      </c>
      <c r="C3" s="14"/>
    </row>
    <row r="4" spans="1:8" ht="15">
      <c r="A4" s="36" t="s">
        <v>20</v>
      </c>
      <c r="B4" s="36"/>
      <c r="C4" s="36"/>
      <c r="D4" s="36"/>
      <c r="E4" s="36"/>
      <c r="F4" s="36"/>
      <c r="G4" s="36"/>
      <c r="H4" s="36"/>
    </row>
    <row r="5" spans="1:8" ht="76.5" customHeight="1">
      <c r="A5" s="37" t="s">
        <v>0</v>
      </c>
      <c r="B5" s="39" t="s">
        <v>1</v>
      </c>
      <c r="C5" s="37" t="s">
        <v>2</v>
      </c>
      <c r="D5" s="37" t="s">
        <v>10</v>
      </c>
      <c r="E5" s="37" t="s">
        <v>3</v>
      </c>
      <c r="F5" s="37" t="s">
        <v>4</v>
      </c>
      <c r="G5" s="37" t="s">
        <v>5</v>
      </c>
      <c r="H5" s="39" t="s">
        <v>6</v>
      </c>
    </row>
    <row r="6" spans="1:8" ht="15" customHeight="1">
      <c r="A6" s="38"/>
      <c r="B6" s="40"/>
      <c r="C6" s="38"/>
      <c r="D6" s="38"/>
      <c r="E6" s="38"/>
      <c r="F6" s="38"/>
      <c r="G6" s="38"/>
      <c r="H6" s="40"/>
    </row>
    <row r="7" spans="1:10" ht="15">
      <c r="A7" s="17">
        <v>1</v>
      </c>
      <c r="B7" s="18" t="s">
        <v>22</v>
      </c>
      <c r="C7" s="17"/>
      <c r="D7" s="21">
        <f>29.67</f>
        <v>29.67</v>
      </c>
      <c r="E7" s="27">
        <f>E8*0.0478+0.179</f>
        <v>6.4882654</v>
      </c>
      <c r="F7" s="28">
        <f>F8*0.0478</f>
        <v>0.40152000000000004</v>
      </c>
      <c r="G7" s="29">
        <f>G8*0.0478</f>
        <v>0.6886068000000001</v>
      </c>
      <c r="H7" s="6">
        <f>G7/4549.4</f>
        <v>0.00015136211368532116</v>
      </c>
      <c r="J7" s="8"/>
    </row>
    <row r="8" spans="1:10" ht="15">
      <c r="A8" s="2">
        <v>2</v>
      </c>
      <c r="B8" s="3" t="s">
        <v>8</v>
      </c>
      <c r="C8" s="6"/>
      <c r="D8" s="6">
        <f>387.9</f>
        <v>387.9</v>
      </c>
      <c r="E8" s="30">
        <f>132.3-12-8.227+19.92</f>
        <v>131.993</v>
      </c>
      <c r="F8" s="30">
        <f>8.4</f>
        <v>8.4</v>
      </c>
      <c r="G8" s="30">
        <f>14.406</f>
        <v>14.406</v>
      </c>
      <c r="H8" s="6">
        <f aca="true" t="shared" si="0" ref="H8:H13">G8/4549.4</f>
        <v>0.0031665714160109028</v>
      </c>
      <c r="J8" s="8"/>
    </row>
    <row r="9" spans="1:10" ht="15">
      <c r="A9" s="2">
        <v>3</v>
      </c>
      <c r="B9" s="3" t="s">
        <v>21</v>
      </c>
      <c r="C9" s="5" t="s">
        <v>34</v>
      </c>
      <c r="D9" s="5">
        <f>58215-57639</f>
        <v>576</v>
      </c>
      <c r="E9" s="30">
        <f>149.24-13.44+300.807+54.462</f>
        <v>491.069</v>
      </c>
      <c r="F9" s="30">
        <f>14</f>
        <v>14</v>
      </c>
      <c r="G9" s="30">
        <f>D9-E9-F9</f>
        <v>70.93099999999998</v>
      </c>
      <c r="H9" s="6">
        <f t="shared" si="0"/>
        <v>0.015591286763089636</v>
      </c>
      <c r="J9" s="8"/>
    </row>
    <row r="10" spans="1:8" ht="15">
      <c r="A10" s="2">
        <v>4</v>
      </c>
      <c r="B10" s="3" t="s">
        <v>9</v>
      </c>
      <c r="C10" s="5"/>
      <c r="D10" s="5">
        <f>D8+D9</f>
        <v>963.9</v>
      </c>
      <c r="E10" s="31">
        <f>214.28-25.44+262.062+68.29+46.62+50.65+6.6</f>
        <v>623.062</v>
      </c>
      <c r="F10" s="30">
        <f>F8+F9</f>
        <v>22.4</v>
      </c>
      <c r="G10" s="30">
        <v>0</v>
      </c>
      <c r="H10" s="6">
        <f t="shared" si="0"/>
        <v>0</v>
      </c>
    </row>
    <row r="11" spans="1:8" ht="15">
      <c r="A11" s="43">
        <v>5</v>
      </c>
      <c r="B11" s="26" t="s">
        <v>29</v>
      </c>
      <c r="C11" s="5"/>
      <c r="D11" s="6">
        <f>8559</f>
        <v>8559</v>
      </c>
      <c r="E11" s="5">
        <f>6052.5</f>
        <v>6052.5</v>
      </c>
      <c r="F11" s="5">
        <v>0</v>
      </c>
      <c r="G11" s="5">
        <f>D11-E11-F11</f>
        <v>2506.5</v>
      </c>
      <c r="H11" s="6">
        <f t="shared" si="0"/>
        <v>0.5509517738602893</v>
      </c>
    </row>
    <row r="12" spans="1:8" ht="15">
      <c r="A12" s="44"/>
      <c r="B12" s="26" t="s">
        <v>30</v>
      </c>
      <c r="C12" s="5"/>
      <c r="D12" s="6">
        <f>6449</f>
        <v>6449</v>
      </c>
      <c r="E12" s="5">
        <f>5340.9</f>
        <v>5340.9</v>
      </c>
      <c r="F12" s="5">
        <v>0</v>
      </c>
      <c r="G12" s="5">
        <f>520.0129+104.9869</f>
        <v>624.9997999999999</v>
      </c>
      <c r="H12" s="6">
        <f t="shared" si="0"/>
        <v>0.13738070954411571</v>
      </c>
    </row>
    <row r="13" spans="1:8" ht="15">
      <c r="A13" s="45"/>
      <c r="B13" s="22" t="s">
        <v>13</v>
      </c>
      <c r="C13" s="22"/>
      <c r="D13" s="23">
        <f>SUM(D11:D12)</f>
        <v>15008</v>
      </c>
      <c r="E13" s="23">
        <f>SUM(E11:E12)</f>
        <v>11393.4</v>
      </c>
      <c r="F13" s="23">
        <f>SUM(F11:F12)</f>
        <v>0</v>
      </c>
      <c r="G13" s="23">
        <f>SUM(G11:G12)</f>
        <v>3131.4998</v>
      </c>
      <c r="H13" s="6">
        <f t="shared" si="0"/>
        <v>0.688332483404405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1"/>
      <c r="E17" s="1"/>
      <c r="F17" s="1"/>
    </row>
    <row r="18" spans="1:6" ht="15">
      <c r="A18" s="1"/>
      <c r="B18" s="1"/>
      <c r="C18" s="1"/>
      <c r="D18" s="11"/>
      <c r="E18" s="1"/>
      <c r="F18" s="1"/>
    </row>
    <row r="19" spans="1:6" ht="15">
      <c r="A19" s="1"/>
      <c r="B19" s="1"/>
      <c r="C19" s="1"/>
      <c r="D19" s="11"/>
      <c r="E19" s="1"/>
      <c r="F19" s="1"/>
    </row>
    <row r="20" spans="1:6" ht="15">
      <c r="A20" s="1"/>
      <c r="B20" s="1"/>
      <c r="C20" s="1"/>
      <c r="D20" s="11"/>
      <c r="E20" s="10"/>
      <c r="F20" s="1"/>
    </row>
    <row r="21" spans="1:6" ht="15">
      <c r="A21" s="1"/>
      <c r="B21" s="1"/>
      <c r="C21" s="1"/>
      <c r="D21" s="11"/>
      <c r="E21" s="1"/>
      <c r="F21" s="1"/>
    </row>
    <row r="22" spans="1:6" ht="15">
      <c r="A22" s="1"/>
      <c r="B22" s="1"/>
      <c r="C22" s="1"/>
      <c r="D22" s="11"/>
      <c r="E22" s="1"/>
      <c r="F22" s="1"/>
    </row>
    <row r="23" spans="1:6" ht="15">
      <c r="A23" s="1"/>
      <c r="B23" s="1"/>
      <c r="C23" s="1"/>
      <c r="D23" s="11"/>
      <c r="E23" s="1"/>
      <c r="F23" s="1"/>
    </row>
    <row r="24" spans="1:6" ht="15">
      <c r="A24" s="1"/>
      <c r="B24" s="1"/>
      <c r="C24" s="1"/>
      <c r="D24" s="11"/>
      <c r="E24" s="10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G5:G6"/>
    <mergeCell ref="H5:H6"/>
    <mergeCell ref="A11:A13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8515625" style="0" customWidth="1"/>
    <col min="2" max="2" width="23.421875" style="0" customWidth="1"/>
    <col min="3" max="3" width="17.57421875" style="0" customWidth="1"/>
    <col min="4" max="4" width="14.710937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2.28125" style="0" customWidth="1"/>
    <col min="9" max="9" width="9.57421875" style="0" bestFit="1" customWidth="1"/>
  </cols>
  <sheetData>
    <row r="3" spans="2:3" ht="15.75">
      <c r="B3" s="14" t="s">
        <v>35</v>
      </c>
      <c r="C3" s="14"/>
    </row>
    <row r="4" spans="1:8" ht="15">
      <c r="A4" s="36" t="s">
        <v>20</v>
      </c>
      <c r="B4" s="36"/>
      <c r="C4" s="36"/>
      <c r="D4" s="36"/>
      <c r="E4" s="36"/>
      <c r="F4" s="36"/>
      <c r="G4" s="36"/>
      <c r="H4" s="36"/>
    </row>
    <row r="5" spans="1:8" ht="76.5" customHeight="1">
      <c r="A5" s="37" t="s">
        <v>0</v>
      </c>
      <c r="B5" s="39" t="s">
        <v>1</v>
      </c>
      <c r="C5" s="37" t="s">
        <v>2</v>
      </c>
      <c r="D5" s="37" t="s">
        <v>10</v>
      </c>
      <c r="E5" s="37" t="s">
        <v>3</v>
      </c>
      <c r="F5" s="37" t="s">
        <v>4</v>
      </c>
      <c r="G5" s="37" t="s">
        <v>5</v>
      </c>
      <c r="H5" s="39" t="s">
        <v>6</v>
      </c>
    </row>
    <row r="6" spans="1:8" ht="15" customHeight="1">
      <c r="A6" s="38"/>
      <c r="B6" s="40"/>
      <c r="C6" s="38"/>
      <c r="D6" s="38"/>
      <c r="E6" s="38"/>
      <c r="F6" s="38"/>
      <c r="G6" s="38"/>
      <c r="H6" s="40"/>
    </row>
    <row r="7" spans="1:10" ht="15">
      <c r="A7" s="17">
        <v>1</v>
      </c>
      <c r="B7" s="18" t="s">
        <v>22</v>
      </c>
      <c r="C7" s="17"/>
      <c r="D7" s="21">
        <f>23.66</f>
        <v>23.66</v>
      </c>
      <c r="E7" s="21">
        <f>E8*0.0478+0.0635</f>
        <v>16.665343420000003</v>
      </c>
      <c r="F7" s="33">
        <f>F8*0.0478</f>
        <v>0.337468</v>
      </c>
      <c r="G7" s="30">
        <f>14.4049*0.0478-0.0003</f>
        <v>0.68825422</v>
      </c>
      <c r="H7" s="6">
        <f aca="true" t="shared" si="0" ref="H7:H13">G7/4549.4</f>
        <v>0.00015128461335560736</v>
      </c>
      <c r="J7" s="8"/>
    </row>
    <row r="8" spans="1:10" ht="15">
      <c r="A8" s="2">
        <v>2</v>
      </c>
      <c r="B8" s="3" t="s">
        <v>8</v>
      </c>
      <c r="C8" s="6"/>
      <c r="D8" s="6">
        <f>326.3</f>
        <v>326.3</v>
      </c>
      <c r="E8" s="30">
        <f>139.0245-23.1226+186.097+45.32</f>
        <v>347.3189</v>
      </c>
      <c r="F8" s="29">
        <f>7.06</f>
        <v>7.06</v>
      </c>
      <c r="G8" s="30">
        <f>D8-E8-F8+1.8251</f>
        <v>-26.253799999999973</v>
      </c>
      <c r="H8" s="6">
        <f t="shared" si="0"/>
        <v>-0.0057708269222314975</v>
      </c>
      <c r="J8" s="8"/>
    </row>
    <row r="9" spans="1:10" ht="15">
      <c r="A9" s="2">
        <v>3</v>
      </c>
      <c r="B9" s="3" t="s">
        <v>21</v>
      </c>
      <c r="C9" s="5" t="s">
        <v>36</v>
      </c>
      <c r="D9" s="5">
        <f>58687-58215</f>
        <v>472</v>
      </c>
      <c r="E9" s="30">
        <f>156.5768-26.0961+227.953+60.538</f>
        <v>418.9717</v>
      </c>
      <c r="F9" s="29">
        <f>12</f>
        <v>12</v>
      </c>
      <c r="G9" s="30">
        <f>14.4049+0.0011</f>
        <v>14.405999999999999</v>
      </c>
      <c r="H9" s="6">
        <f t="shared" si="0"/>
        <v>0.0031665714160109023</v>
      </c>
      <c r="J9" s="8"/>
    </row>
    <row r="10" spans="1:8" ht="15">
      <c r="A10" s="2">
        <v>4</v>
      </c>
      <c r="B10" s="3" t="s">
        <v>9</v>
      </c>
      <c r="C10" s="5"/>
      <c r="D10" s="5">
        <f>D8+D9</f>
        <v>798.3</v>
      </c>
      <c r="E10" s="32">
        <f>222.2013-49.2187+454.708+82.51+54.13-3.84+5.8</f>
        <v>766.2905999999999</v>
      </c>
      <c r="F10" s="30">
        <f>F8+F9</f>
        <v>19.06</v>
      </c>
      <c r="G10" s="30">
        <v>0</v>
      </c>
      <c r="H10" s="6">
        <f t="shared" si="0"/>
        <v>0</v>
      </c>
    </row>
    <row r="11" spans="1:8" ht="15">
      <c r="A11" s="43">
        <v>5</v>
      </c>
      <c r="B11" s="26" t="s">
        <v>29</v>
      </c>
      <c r="C11" s="5"/>
      <c r="D11" s="6">
        <f>7316</f>
        <v>7316</v>
      </c>
      <c r="E11" s="5">
        <f>6472.9</f>
        <v>6472.9</v>
      </c>
      <c r="F11" s="5">
        <v>0</v>
      </c>
      <c r="G11" s="30">
        <f>D11-E11-F11+0.0005</f>
        <v>843.1005000000004</v>
      </c>
      <c r="H11" s="6">
        <f t="shared" si="0"/>
        <v>0.18532125115399842</v>
      </c>
    </row>
    <row r="12" spans="1:8" ht="15">
      <c r="A12" s="44"/>
      <c r="B12" s="26" t="s">
        <v>30</v>
      </c>
      <c r="C12" s="5"/>
      <c r="D12" s="6">
        <f>6458</f>
        <v>6458</v>
      </c>
      <c r="E12" s="5">
        <f>4545.3</f>
        <v>4545.3</v>
      </c>
      <c r="F12" s="5">
        <v>0</v>
      </c>
      <c r="G12" s="30">
        <f>D12-E12-F12+0.0001</f>
        <v>1912.7000999999998</v>
      </c>
      <c r="H12" s="6">
        <f t="shared" si="0"/>
        <v>0.42042908955027036</v>
      </c>
    </row>
    <row r="13" spans="1:8" ht="15">
      <c r="A13" s="45"/>
      <c r="B13" s="22" t="s">
        <v>13</v>
      </c>
      <c r="C13" s="22"/>
      <c r="D13" s="23">
        <f>SUM(D11:D12)</f>
        <v>13774</v>
      </c>
      <c r="E13" s="23">
        <f>SUM(E11:E12)</f>
        <v>11018.2</v>
      </c>
      <c r="F13" s="23">
        <f>SUM(F11:F12)</f>
        <v>0</v>
      </c>
      <c r="G13" s="23">
        <f>SUM(G11:G12)</f>
        <v>2755.8006</v>
      </c>
      <c r="H13" s="6">
        <f t="shared" si="0"/>
        <v>0.6057503407042687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1"/>
      <c r="E17" s="1"/>
      <c r="F17" s="1"/>
    </row>
    <row r="18" spans="1:6" ht="15">
      <c r="A18" s="1"/>
      <c r="B18" s="1"/>
      <c r="C18" s="1"/>
      <c r="D18" s="11"/>
      <c r="E18" s="1"/>
      <c r="F18" s="1"/>
    </row>
    <row r="19" spans="1:6" ht="15">
      <c r="A19" s="1"/>
      <c r="B19" s="1"/>
      <c r="C19" s="1"/>
      <c r="D19" s="11"/>
      <c r="E19" s="1"/>
      <c r="F19" s="1"/>
    </row>
    <row r="20" spans="1:6" ht="15">
      <c r="A20" s="1"/>
      <c r="B20" s="1"/>
      <c r="C20" s="1"/>
      <c r="D20" s="11"/>
      <c r="E20" s="10"/>
      <c r="F20" s="1"/>
    </row>
    <row r="21" spans="1:6" ht="15">
      <c r="A21" s="1"/>
      <c r="B21" s="1"/>
      <c r="C21" s="1"/>
      <c r="D21" s="11"/>
      <c r="E21" s="1"/>
      <c r="F21" s="1"/>
    </row>
    <row r="22" spans="1:6" ht="15">
      <c r="A22" s="1"/>
      <c r="B22" s="1"/>
      <c r="C22" s="1"/>
      <c r="D22" s="11"/>
      <c r="E22" s="1"/>
      <c r="F22" s="1"/>
    </row>
    <row r="23" spans="1:6" ht="15">
      <c r="A23" s="1"/>
      <c r="B23" s="1"/>
      <c r="C23" s="1"/>
      <c r="D23" s="11"/>
      <c r="E23" s="1"/>
      <c r="F23" s="1"/>
    </row>
    <row r="24" spans="1:6" ht="15">
      <c r="A24" s="1"/>
      <c r="B24" s="1"/>
      <c r="C24" s="1"/>
      <c r="D24" s="11"/>
      <c r="E24" s="10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G5:G6"/>
    <mergeCell ref="H5:H6"/>
    <mergeCell ref="A11:A13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8515625" style="0" customWidth="1"/>
    <col min="2" max="2" width="23.421875" style="0" customWidth="1"/>
    <col min="3" max="3" width="17.57421875" style="0" customWidth="1"/>
    <col min="4" max="4" width="14.710937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2.28125" style="0" customWidth="1"/>
    <col min="9" max="9" width="9.57421875" style="0" bestFit="1" customWidth="1"/>
  </cols>
  <sheetData>
    <row r="3" spans="2:3" ht="15.75">
      <c r="B3" s="14" t="s">
        <v>37</v>
      </c>
      <c r="C3" s="14"/>
    </row>
    <row r="4" spans="1:8" ht="15">
      <c r="A4" s="36" t="s">
        <v>20</v>
      </c>
      <c r="B4" s="36"/>
      <c r="C4" s="36"/>
      <c r="D4" s="36"/>
      <c r="E4" s="36"/>
      <c r="F4" s="36"/>
      <c r="G4" s="36"/>
      <c r="H4" s="36"/>
    </row>
    <row r="5" spans="1:8" ht="76.5" customHeight="1">
      <c r="A5" s="37" t="s">
        <v>0</v>
      </c>
      <c r="B5" s="39" t="s">
        <v>1</v>
      </c>
      <c r="C5" s="37" t="s">
        <v>2</v>
      </c>
      <c r="D5" s="37" t="s">
        <v>10</v>
      </c>
      <c r="E5" s="37" t="s">
        <v>3</v>
      </c>
      <c r="F5" s="37" t="s">
        <v>4</v>
      </c>
      <c r="G5" s="37" t="s">
        <v>5</v>
      </c>
      <c r="H5" s="39" t="s">
        <v>6</v>
      </c>
    </row>
    <row r="6" spans="1:8" ht="15" customHeight="1">
      <c r="A6" s="38"/>
      <c r="B6" s="40"/>
      <c r="C6" s="38"/>
      <c r="D6" s="38"/>
      <c r="E6" s="38"/>
      <c r="F6" s="38"/>
      <c r="G6" s="38"/>
      <c r="H6" s="40"/>
    </row>
    <row r="7" spans="1:10" ht="15">
      <c r="A7" s="17">
        <v>1</v>
      </c>
      <c r="B7" s="18" t="s">
        <v>22</v>
      </c>
      <c r="C7" s="17"/>
      <c r="D7" s="21">
        <f>24.98</f>
        <v>24.98</v>
      </c>
      <c r="E7" s="21">
        <f>E8*0.0478-0.0011+0.0366</f>
        <v>15.369644400000004</v>
      </c>
      <c r="F7" s="34">
        <f>F8*0.0478</f>
        <v>0.38526800000000005</v>
      </c>
      <c r="G7" s="30">
        <f>G8*0.0478-0.0003</f>
        <v>0.6883068</v>
      </c>
      <c r="H7" s="6">
        <f aca="true" t="shared" si="0" ref="H7:H13">G7/4549.4</f>
        <v>0.0001512961709236383</v>
      </c>
      <c r="J7" s="8"/>
    </row>
    <row r="8" spans="1:10" ht="15">
      <c r="A8" s="2">
        <v>2</v>
      </c>
      <c r="B8" s="3" t="s">
        <v>8</v>
      </c>
      <c r="C8" s="6"/>
      <c r="D8" s="6">
        <f>372.5</f>
        <v>372.5</v>
      </c>
      <c r="E8" s="30">
        <f>130.3355+181.17+30.97-21.6774-0.0001</f>
        <v>320.79800000000006</v>
      </c>
      <c r="F8" s="30">
        <f>8.06</f>
        <v>8.06</v>
      </c>
      <c r="G8" s="30">
        <f>14.4049+0.0011</f>
        <v>14.405999999999999</v>
      </c>
      <c r="H8" s="6">
        <f t="shared" si="0"/>
        <v>0.0031665714160109023</v>
      </c>
      <c r="J8" s="8"/>
    </row>
    <row r="9" spans="1:10" ht="15">
      <c r="A9" s="2">
        <v>3</v>
      </c>
      <c r="B9" s="3" t="s">
        <v>21</v>
      </c>
      <c r="C9" s="5" t="s">
        <v>38</v>
      </c>
      <c r="D9" s="5">
        <f>59149-58687</f>
        <v>462</v>
      </c>
      <c r="E9" s="30">
        <f>151.32+227.14+47.04-25.22</f>
        <v>400.28</v>
      </c>
      <c r="F9" s="30">
        <f>14</f>
        <v>14</v>
      </c>
      <c r="G9" s="30">
        <f>14.4049+0.0011</f>
        <v>14.405999999999999</v>
      </c>
      <c r="H9" s="6">
        <f t="shared" si="0"/>
        <v>0.0031665714160109023</v>
      </c>
      <c r="J9" s="8"/>
    </row>
    <row r="10" spans="1:8" ht="15">
      <c r="A10" s="2">
        <v>4</v>
      </c>
      <c r="B10" s="3" t="s">
        <v>9</v>
      </c>
      <c r="C10" s="5"/>
      <c r="D10" s="5">
        <f>D8+D9</f>
        <v>834.5</v>
      </c>
      <c r="E10" s="32">
        <f>174.6132+396.38+56.23+39.7152+43.44+10.7</f>
        <v>721.0784000000001</v>
      </c>
      <c r="F10" s="30">
        <f>F8+F9</f>
        <v>22.060000000000002</v>
      </c>
      <c r="G10" s="30">
        <v>0</v>
      </c>
      <c r="H10" s="6">
        <f t="shared" si="0"/>
        <v>0</v>
      </c>
    </row>
    <row r="11" spans="1:8" ht="15">
      <c r="A11" s="43">
        <v>5</v>
      </c>
      <c r="B11" s="26" t="s">
        <v>29</v>
      </c>
      <c r="C11" s="5"/>
      <c r="D11" s="6">
        <f>7003</f>
        <v>7003</v>
      </c>
      <c r="E11" s="30">
        <f>6975.6</f>
        <v>6975.6</v>
      </c>
      <c r="F11" s="30">
        <v>0</v>
      </c>
      <c r="G11" s="30">
        <f>D11-E11-F11-0.0001</f>
        <v>27.399899999999636</v>
      </c>
      <c r="H11" s="6">
        <f t="shared" si="0"/>
        <v>0.006022750252780507</v>
      </c>
    </row>
    <row r="12" spans="1:8" ht="15">
      <c r="A12" s="44"/>
      <c r="B12" s="26" t="s">
        <v>30</v>
      </c>
      <c r="C12" s="5"/>
      <c r="D12" s="6">
        <f>7141</f>
        <v>7141</v>
      </c>
      <c r="E12" s="30">
        <f>5507.8</f>
        <v>5507.8</v>
      </c>
      <c r="F12" s="30">
        <v>0</v>
      </c>
      <c r="G12" s="30">
        <f>D12-E12-F12+0.0008</f>
        <v>1633.2007999999998</v>
      </c>
      <c r="H12" s="6">
        <f t="shared" si="0"/>
        <v>0.3589925704488504</v>
      </c>
    </row>
    <row r="13" spans="1:8" ht="15">
      <c r="A13" s="45"/>
      <c r="B13" s="22" t="s">
        <v>13</v>
      </c>
      <c r="C13" s="22"/>
      <c r="D13" s="23">
        <f>SUM(D11:D12)</f>
        <v>14144</v>
      </c>
      <c r="E13" s="35">
        <f>SUM(E11:E12)</f>
        <v>12483.400000000001</v>
      </c>
      <c r="F13" s="35">
        <f>SUM(F11:F12)</f>
        <v>0</v>
      </c>
      <c r="G13" s="35">
        <f>SUM(G11:G12)</f>
        <v>1660.6006999999995</v>
      </c>
      <c r="H13" s="6">
        <f t="shared" si="0"/>
        <v>0.3650153207016309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1"/>
      <c r="E17" s="1"/>
      <c r="F17" s="1"/>
    </row>
    <row r="18" spans="1:6" ht="15">
      <c r="A18" s="1"/>
      <c r="B18" s="1"/>
      <c r="C18" s="1"/>
      <c r="D18" s="11"/>
      <c r="E18" s="1"/>
      <c r="F18" s="1"/>
    </row>
    <row r="19" spans="1:6" ht="15">
      <c r="A19" s="1"/>
      <c r="B19" s="1"/>
      <c r="C19" s="1"/>
      <c r="D19" s="11"/>
      <c r="E19" s="1"/>
      <c r="F19" s="1"/>
    </row>
    <row r="20" spans="1:6" ht="15">
      <c r="A20" s="1"/>
      <c r="B20" s="1"/>
      <c r="C20" s="1"/>
      <c r="D20" s="11"/>
      <c r="E20" s="10"/>
      <c r="F20" s="1"/>
    </row>
    <row r="21" spans="1:6" ht="15">
      <c r="A21" s="1"/>
      <c r="B21" s="1"/>
      <c r="C21" s="1"/>
      <c r="D21" s="11"/>
      <c r="E21" s="1"/>
      <c r="F21" s="1"/>
    </row>
    <row r="22" spans="1:6" ht="15">
      <c r="A22" s="1"/>
      <c r="B22" s="1"/>
      <c r="C22" s="1"/>
      <c r="D22" s="11"/>
      <c r="E22" s="1"/>
      <c r="F22" s="1"/>
    </row>
    <row r="23" spans="1:6" ht="15">
      <c r="A23" s="1"/>
      <c r="B23" s="1"/>
      <c r="C23" s="1"/>
      <c r="D23" s="11"/>
      <c r="E23" s="1"/>
      <c r="F23" s="1"/>
    </row>
    <row r="24" spans="1:6" ht="15">
      <c r="A24" s="1"/>
      <c r="B24" s="1"/>
      <c r="C24" s="1"/>
      <c r="D24" s="11"/>
      <c r="E24" s="10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G5:G6"/>
    <mergeCell ref="H5:H6"/>
    <mergeCell ref="A11:A13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8515625" style="0" customWidth="1"/>
    <col min="2" max="2" width="23.421875" style="0" customWidth="1"/>
    <col min="3" max="3" width="17.57421875" style="0" customWidth="1"/>
    <col min="4" max="4" width="14.710937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2.28125" style="0" customWidth="1"/>
    <col min="9" max="9" width="9.57421875" style="0" bestFit="1" customWidth="1"/>
  </cols>
  <sheetData>
    <row r="3" spans="2:3" ht="15.75">
      <c r="B3" s="14" t="s">
        <v>39</v>
      </c>
      <c r="C3" s="14"/>
    </row>
    <row r="4" spans="1:8" ht="15">
      <c r="A4" s="36" t="s">
        <v>20</v>
      </c>
      <c r="B4" s="36"/>
      <c r="C4" s="36"/>
      <c r="D4" s="36"/>
      <c r="E4" s="36"/>
      <c r="F4" s="36"/>
      <c r="G4" s="36"/>
      <c r="H4" s="36"/>
    </row>
    <row r="5" spans="1:8" ht="76.5" customHeight="1">
      <c r="A5" s="37" t="s">
        <v>0</v>
      </c>
      <c r="B5" s="39" t="s">
        <v>1</v>
      </c>
      <c r="C5" s="37" t="s">
        <v>2</v>
      </c>
      <c r="D5" s="37" t="s">
        <v>10</v>
      </c>
      <c r="E5" s="37" t="s">
        <v>3</v>
      </c>
      <c r="F5" s="37" t="s">
        <v>4</v>
      </c>
      <c r="G5" s="37" t="s">
        <v>5</v>
      </c>
      <c r="H5" s="39" t="s">
        <v>6</v>
      </c>
    </row>
    <row r="6" spans="1:8" ht="15" customHeight="1">
      <c r="A6" s="38"/>
      <c r="B6" s="40"/>
      <c r="C6" s="38"/>
      <c r="D6" s="38"/>
      <c r="E6" s="38"/>
      <c r="F6" s="38"/>
      <c r="G6" s="38"/>
      <c r="H6" s="40"/>
    </row>
    <row r="7" spans="1:10" ht="15">
      <c r="A7" s="17">
        <v>1</v>
      </c>
      <c r="B7" s="18" t="s">
        <v>22</v>
      </c>
      <c r="C7" s="17"/>
      <c r="D7" s="21">
        <f>19.92</f>
        <v>19.92</v>
      </c>
      <c r="E7" s="21">
        <f>E8*0.0478+0.2346</f>
        <v>15.164195457400002</v>
      </c>
      <c r="F7" s="34">
        <f>F8*0.0478</f>
        <v>0.08604</v>
      </c>
      <c r="G7" s="30">
        <f>G8*0.0478-0.0004</f>
        <v>0.6882020200000001</v>
      </c>
      <c r="H7" s="6">
        <f>G7/4749.3</f>
        <v>0.0001449059903564736</v>
      </c>
      <c r="J7" s="8"/>
    </row>
    <row r="8" spans="1:10" ht="15">
      <c r="A8" s="2">
        <v>2</v>
      </c>
      <c r="B8" s="3" t="s">
        <v>8</v>
      </c>
      <c r="C8" s="6"/>
      <c r="D8" s="6">
        <f>355.12</f>
        <v>355.12</v>
      </c>
      <c r="E8" s="30">
        <f>159.3713-26.506667+159.33+20.14</f>
        <v>312.334633</v>
      </c>
      <c r="F8" s="30">
        <f>1.8</f>
        <v>1.8</v>
      </c>
      <c r="G8" s="30">
        <f>14.4049+0.001</f>
        <v>14.405899999999999</v>
      </c>
      <c r="H8" s="6">
        <f aca="true" t="shared" si="0" ref="H8:H13">G8/4749.3</f>
        <v>0.003033268060556292</v>
      </c>
      <c r="J8" s="8"/>
    </row>
    <row r="9" spans="1:10" ht="15">
      <c r="A9" s="2">
        <v>3</v>
      </c>
      <c r="B9" s="3" t="s">
        <v>21</v>
      </c>
      <c r="C9" s="5" t="s">
        <v>40</v>
      </c>
      <c r="D9" s="5">
        <f>59689-59149</f>
        <v>540</v>
      </c>
      <c r="E9" s="30">
        <f>151.32-25.22+221.15+53.11</f>
        <v>400.36</v>
      </c>
      <c r="F9" s="30">
        <f>10</f>
        <v>10</v>
      </c>
      <c r="G9" s="30">
        <f>14.4049+0.001</f>
        <v>14.405899999999999</v>
      </c>
      <c r="H9" s="6">
        <f t="shared" si="0"/>
        <v>0.003033268060556292</v>
      </c>
      <c r="J9" s="8"/>
    </row>
    <row r="10" spans="1:8" ht="15">
      <c r="A10" s="2">
        <v>4</v>
      </c>
      <c r="B10" s="3" t="s">
        <v>9</v>
      </c>
      <c r="C10" s="5"/>
      <c r="D10" s="5">
        <f>D8+D9</f>
        <v>895.12</v>
      </c>
      <c r="E10" s="32">
        <f>177.2+388.84+33.93+67.0947+40.46+5.17</f>
        <v>712.6946999999999</v>
      </c>
      <c r="F10" s="30">
        <f>F8+F9</f>
        <v>11.8</v>
      </c>
      <c r="G10" s="30">
        <v>0</v>
      </c>
      <c r="H10" s="6">
        <f t="shared" si="0"/>
        <v>0</v>
      </c>
    </row>
    <row r="11" spans="1:8" ht="15">
      <c r="A11" s="43">
        <v>5</v>
      </c>
      <c r="B11" s="26" t="s">
        <v>29</v>
      </c>
      <c r="C11" s="5"/>
      <c r="D11" s="6">
        <f>7263</f>
        <v>7263</v>
      </c>
      <c r="E11" s="30">
        <f>6198</f>
        <v>6198</v>
      </c>
      <c r="F11" s="30">
        <v>0</v>
      </c>
      <c r="G11" s="30">
        <f>D11-E11-F11</f>
        <v>1065</v>
      </c>
      <c r="H11" s="6">
        <f t="shared" si="0"/>
        <v>0.22424357273703494</v>
      </c>
    </row>
    <row r="12" spans="1:8" ht="15">
      <c r="A12" s="44"/>
      <c r="B12" s="26" t="s">
        <v>30</v>
      </c>
      <c r="C12" s="5"/>
      <c r="D12" s="6">
        <f>6444</f>
        <v>6444</v>
      </c>
      <c r="E12" s="30">
        <f>7707</f>
        <v>7707</v>
      </c>
      <c r="F12" s="30">
        <v>0</v>
      </c>
      <c r="G12" s="30">
        <f>D12-E12-F12+58.6548</f>
        <v>-1204.3452</v>
      </c>
      <c r="H12" s="6">
        <f t="shared" si="0"/>
        <v>-0.2535837281283557</v>
      </c>
    </row>
    <row r="13" spans="1:8" ht="15">
      <c r="A13" s="45"/>
      <c r="B13" s="22" t="s">
        <v>13</v>
      </c>
      <c r="C13" s="22"/>
      <c r="D13" s="23">
        <f>SUM(D11:D12)</f>
        <v>13707</v>
      </c>
      <c r="E13" s="35">
        <f>SUM(E11:E12)</f>
        <v>13905</v>
      </c>
      <c r="F13" s="35">
        <f>SUM(F11:F12)</f>
        <v>0</v>
      </c>
      <c r="G13" s="35">
        <f>SUM(G11:G12)</f>
        <v>-139.34519999999998</v>
      </c>
      <c r="H13" s="6">
        <f t="shared" si="0"/>
        <v>-0.02934015539132082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1"/>
      <c r="E17" s="1"/>
      <c r="F17" s="1"/>
    </row>
    <row r="18" spans="1:6" ht="15">
      <c r="A18" s="1"/>
      <c r="B18" s="1"/>
      <c r="C18" s="1"/>
      <c r="D18" s="11"/>
      <c r="E18" s="1"/>
      <c r="F18" s="1"/>
    </row>
    <row r="19" spans="1:6" ht="15">
      <c r="A19" s="1"/>
      <c r="B19" s="1"/>
      <c r="C19" s="1"/>
      <c r="D19" s="11"/>
      <c r="E19" s="1"/>
      <c r="F19" s="1"/>
    </row>
    <row r="20" spans="1:6" ht="15">
      <c r="A20" s="1"/>
      <c r="B20" s="1"/>
      <c r="C20" s="1"/>
      <c r="D20" s="11"/>
      <c r="E20" s="10"/>
      <c r="F20" s="1"/>
    </row>
    <row r="21" spans="1:6" ht="15">
      <c r="A21" s="1"/>
      <c r="B21" s="1"/>
      <c r="C21" s="1"/>
      <c r="D21" s="11"/>
      <c r="E21" s="1"/>
      <c r="F21" s="1"/>
    </row>
    <row r="22" spans="1:6" ht="15">
      <c r="A22" s="1"/>
      <c r="B22" s="1"/>
      <c r="C22" s="1"/>
      <c r="D22" s="11"/>
      <c r="E22" s="1"/>
      <c r="F22" s="1"/>
    </row>
    <row r="23" spans="1:6" ht="15">
      <c r="A23" s="1"/>
      <c r="B23" s="1"/>
      <c r="C23" s="1"/>
      <c r="D23" s="11"/>
      <c r="E23" s="1"/>
      <c r="F23" s="1"/>
    </row>
    <row r="24" spans="1:6" ht="15">
      <c r="A24" s="1"/>
      <c r="B24" s="1"/>
      <c r="C24" s="1"/>
      <c r="D24" s="11"/>
      <c r="E24" s="10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G5:G6"/>
    <mergeCell ref="H5:H6"/>
    <mergeCell ref="A11:A13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8515625" style="0" customWidth="1"/>
    <col min="2" max="2" width="23.421875" style="0" customWidth="1"/>
    <col min="3" max="3" width="17.57421875" style="0" customWidth="1"/>
    <col min="4" max="4" width="14.7109375" style="0" customWidth="1"/>
    <col min="5" max="5" width="16.7109375" style="0" customWidth="1"/>
    <col min="6" max="6" width="15.8515625" style="0" customWidth="1"/>
    <col min="7" max="7" width="12.7109375" style="0" customWidth="1"/>
    <col min="8" max="8" width="12.28125" style="0" customWidth="1"/>
    <col min="9" max="9" width="9.57421875" style="0" bestFit="1" customWidth="1"/>
  </cols>
  <sheetData>
    <row r="3" spans="2:3" ht="15.75">
      <c r="B3" s="14" t="s">
        <v>41</v>
      </c>
      <c r="C3" s="14"/>
    </row>
    <row r="4" spans="1:8" ht="15">
      <c r="A4" s="36" t="s">
        <v>20</v>
      </c>
      <c r="B4" s="36"/>
      <c r="C4" s="36"/>
      <c r="D4" s="36"/>
      <c r="E4" s="36"/>
      <c r="F4" s="36"/>
      <c r="G4" s="36"/>
      <c r="H4" s="36"/>
    </row>
    <row r="5" spans="1:8" ht="76.5" customHeight="1">
      <c r="A5" s="37" t="s">
        <v>0</v>
      </c>
      <c r="B5" s="39" t="s">
        <v>1</v>
      </c>
      <c r="C5" s="37" t="s">
        <v>2</v>
      </c>
      <c r="D5" s="37" t="s">
        <v>10</v>
      </c>
      <c r="E5" s="37" t="s">
        <v>3</v>
      </c>
      <c r="F5" s="37" t="s">
        <v>4</v>
      </c>
      <c r="G5" s="37" t="s">
        <v>5</v>
      </c>
      <c r="H5" s="39" t="s">
        <v>6</v>
      </c>
    </row>
    <row r="6" spans="1:8" ht="15" customHeight="1">
      <c r="A6" s="38"/>
      <c r="B6" s="40"/>
      <c r="C6" s="38"/>
      <c r="D6" s="38"/>
      <c r="E6" s="38"/>
      <c r="F6" s="38"/>
      <c r="G6" s="38"/>
      <c r="H6" s="40"/>
    </row>
    <row r="7" spans="1:10" ht="15">
      <c r="A7" s="17">
        <v>1</v>
      </c>
      <c r="B7" s="18" t="s">
        <v>22</v>
      </c>
      <c r="C7" s="17"/>
      <c r="D7" s="21">
        <f>38.42</f>
        <v>38.42</v>
      </c>
      <c r="E7" s="21">
        <f>E8*0.0478+0.0008</f>
        <v>14.259062000000002</v>
      </c>
      <c r="F7" s="34">
        <v>0.92</v>
      </c>
      <c r="G7" s="30">
        <f>14.4049*0.0478-0.0004</f>
        <v>0.68815422</v>
      </c>
      <c r="H7" s="6">
        <f aca="true" t="shared" si="0" ref="H7:H13">G7/4749.3</f>
        <v>0.0001448959257153686</v>
      </c>
      <c r="J7" s="8"/>
    </row>
    <row r="8" spans="1:10" ht="15">
      <c r="A8" s="2">
        <v>2</v>
      </c>
      <c r="B8" s="3" t="s">
        <v>8</v>
      </c>
      <c r="C8" s="6"/>
      <c r="D8" s="6">
        <f>440.5</f>
        <v>440.5</v>
      </c>
      <c r="E8" s="30">
        <f>134.68-22.4+157.19+28.82</f>
        <v>298.29</v>
      </c>
      <c r="F8" s="30">
        <f>8.72</f>
        <v>8.72</v>
      </c>
      <c r="G8" s="30">
        <f>14.4049+0.001</f>
        <v>14.405899999999999</v>
      </c>
      <c r="H8" s="6">
        <f t="shared" si="0"/>
        <v>0.003033268060556292</v>
      </c>
      <c r="J8" s="8"/>
    </row>
    <row r="9" spans="1:10" ht="15">
      <c r="A9" s="2">
        <v>3</v>
      </c>
      <c r="B9" s="3" t="s">
        <v>21</v>
      </c>
      <c r="C9" s="5" t="s">
        <v>42</v>
      </c>
      <c r="D9" s="5">
        <f>60165-59689</f>
        <v>476</v>
      </c>
      <c r="E9" s="30">
        <f>145.5-24.25+254.5+31.63</f>
        <v>407.38</v>
      </c>
      <c r="F9" s="30">
        <f>8</f>
        <v>8</v>
      </c>
      <c r="G9" s="30">
        <f>14.4049+0.001</f>
        <v>14.405899999999999</v>
      </c>
      <c r="H9" s="6">
        <f t="shared" si="0"/>
        <v>0.003033268060556292</v>
      </c>
      <c r="J9" s="8"/>
    </row>
    <row r="10" spans="1:8" ht="15">
      <c r="A10" s="2">
        <v>4</v>
      </c>
      <c r="B10" s="3" t="s">
        <v>9</v>
      </c>
      <c r="C10" s="5"/>
      <c r="D10" s="5">
        <f>D8+D9</f>
        <v>916.5</v>
      </c>
      <c r="E10" s="32">
        <f>177.2+400.8+50.05+47.67+29.95</f>
        <v>705.67</v>
      </c>
      <c r="F10" s="30">
        <f>F8+F9</f>
        <v>16.72</v>
      </c>
      <c r="G10" s="30">
        <v>0</v>
      </c>
      <c r="H10" s="6">
        <f t="shared" si="0"/>
        <v>0</v>
      </c>
    </row>
    <row r="11" spans="1:8" ht="15">
      <c r="A11" s="43">
        <v>5</v>
      </c>
      <c r="B11" s="26" t="s">
        <v>29</v>
      </c>
      <c r="C11" s="5"/>
      <c r="D11" s="6">
        <f>8418</f>
        <v>8418</v>
      </c>
      <c r="E11" s="30">
        <f>6924</f>
        <v>6924</v>
      </c>
      <c r="F11" s="30">
        <v>0</v>
      </c>
      <c r="G11" s="30">
        <f>D11-E11-F11-0.0005</f>
        <v>1493.9995</v>
      </c>
      <c r="H11" s="6">
        <f t="shared" si="0"/>
        <v>0.3145725685890552</v>
      </c>
    </row>
    <row r="12" spans="1:8" ht="15">
      <c r="A12" s="44"/>
      <c r="B12" s="26" t="s">
        <v>30</v>
      </c>
      <c r="C12" s="5"/>
      <c r="D12" s="6">
        <f>8062</f>
        <v>8062</v>
      </c>
      <c r="E12" s="30">
        <f>7257</f>
        <v>7257</v>
      </c>
      <c r="F12" s="30">
        <v>0</v>
      </c>
      <c r="G12" s="30">
        <f>D12-E12-F12+0.0004</f>
        <v>805.0004</v>
      </c>
      <c r="H12" s="6">
        <f t="shared" si="0"/>
        <v>0.1694987471837955</v>
      </c>
    </row>
    <row r="13" spans="1:8" ht="15">
      <c r="A13" s="45"/>
      <c r="B13" s="22" t="s">
        <v>13</v>
      </c>
      <c r="C13" s="22"/>
      <c r="D13" s="23">
        <f>SUM(D11:D12)</f>
        <v>16480</v>
      </c>
      <c r="E13" s="35">
        <f>SUM(E11:E12)</f>
        <v>14181</v>
      </c>
      <c r="F13" s="35">
        <f>SUM(F11:F12)</f>
        <v>0</v>
      </c>
      <c r="G13" s="35">
        <f>SUM(G11:G12)</f>
        <v>2298.9999</v>
      </c>
      <c r="H13" s="6">
        <f t="shared" si="0"/>
        <v>0.4840713157728507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1"/>
      <c r="E17" s="1"/>
      <c r="F17" s="1"/>
    </row>
    <row r="18" spans="1:6" ht="15">
      <c r="A18" s="1"/>
      <c r="B18" s="1"/>
      <c r="C18" s="1"/>
      <c r="D18" s="11"/>
      <c r="E18" s="1"/>
      <c r="F18" s="1"/>
    </row>
    <row r="19" spans="1:6" ht="15">
      <c r="A19" s="1"/>
      <c r="B19" s="1"/>
      <c r="C19" s="1"/>
      <c r="D19" s="11"/>
      <c r="E19" s="1"/>
      <c r="F19" s="1"/>
    </row>
    <row r="20" spans="1:6" ht="15">
      <c r="A20" s="1"/>
      <c r="B20" s="1"/>
      <c r="C20" s="1"/>
      <c r="D20" s="11"/>
      <c r="E20" s="10"/>
      <c r="F20" s="1"/>
    </row>
    <row r="21" spans="1:6" ht="15">
      <c r="A21" s="1"/>
      <c r="B21" s="1"/>
      <c r="C21" s="1"/>
      <c r="D21" s="11"/>
      <c r="E21" s="1"/>
      <c r="F21" s="1"/>
    </row>
    <row r="22" spans="1:6" ht="15">
      <c r="A22" s="1"/>
      <c r="B22" s="1"/>
      <c r="C22" s="1"/>
      <c r="D22" s="11"/>
      <c r="E22" s="1"/>
      <c r="F22" s="1"/>
    </row>
    <row r="23" spans="1:6" ht="15">
      <c r="A23" s="1"/>
      <c r="B23" s="1"/>
      <c r="C23" s="1"/>
      <c r="D23" s="11"/>
      <c r="E23" s="1"/>
      <c r="F23" s="1"/>
    </row>
    <row r="24" spans="1:6" ht="15">
      <c r="A24" s="1"/>
      <c r="B24" s="1"/>
      <c r="C24" s="1"/>
      <c r="D24" s="11"/>
      <c r="E24" s="10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G5:G6"/>
    <mergeCell ref="H5:H6"/>
    <mergeCell ref="A11:A13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2012-11-27T03:16:55Z</cp:lastPrinted>
  <dcterms:created xsi:type="dcterms:W3CDTF">2006-09-16T00:00:00Z</dcterms:created>
  <dcterms:modified xsi:type="dcterms:W3CDTF">2016-02-01T10:41:30Z</dcterms:modified>
  <cp:category/>
  <cp:version/>
  <cp:contentType/>
  <cp:contentStatus/>
</cp:coreProperties>
</file>